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<sst xmlns="http://schemas.openxmlformats.org/spreadsheetml/2006/main" count="331" uniqueCount="159">
  <si>
    <t>№ п/п</t>
  </si>
  <si>
    <t>Статья расходов</t>
  </si>
  <si>
    <t>Управление (администр.руководство) итого</t>
  </si>
  <si>
    <t>1.1</t>
  </si>
  <si>
    <t>Заработная плата с отчислениями</t>
  </si>
  <si>
    <t>1.1.2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</si>
  <si>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</si>
  <si>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</si>
  <si>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</si>
  <si>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</si>
  <si>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</si>
  <si>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</si>
  <si>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</si>
  <si>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</si>
  <si>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2</t>
  </si>
  <si>
    <t>2.1</t>
  </si>
  <si>
    <t>Заработная плата с отчислениями:</t>
  </si>
  <si>
    <t>2.1.1</t>
  </si>
  <si>
    <t>2.1.2</t>
  </si>
  <si>
    <t>2.2</t>
  </si>
  <si>
    <t>2.2.1</t>
  </si>
  <si>
    <t>2.2.2</t>
  </si>
  <si>
    <t>Вывоз и утилизацияТБО</t>
  </si>
  <si>
    <t>2.2.3</t>
  </si>
  <si>
    <t>2.2.4</t>
  </si>
  <si>
    <t>2.2.5</t>
  </si>
  <si>
    <t>2.2.6</t>
  </si>
  <si>
    <t>Антенна</t>
  </si>
  <si>
    <t>2.3</t>
  </si>
  <si>
    <t>Текущий ремонт</t>
  </si>
  <si>
    <t>2.3.1</t>
  </si>
  <si>
    <t>2.3.2</t>
  </si>
  <si>
    <t>Услуги ресурсо-снабжающих организаций</t>
  </si>
  <si>
    <t>3.2</t>
  </si>
  <si>
    <t>3.1</t>
  </si>
  <si>
    <t>3.3</t>
  </si>
  <si>
    <t>по смете месяц</t>
  </si>
  <si>
    <t>Материалы строительные, изм.приборы, оборудование и пр</t>
  </si>
  <si>
    <t>по смете год</t>
  </si>
  <si>
    <t>Страховые взносы в фонды</t>
  </si>
  <si>
    <t xml:space="preserve">Страховые взносы в фонды </t>
  </si>
  <si>
    <t>Канцтовары, почт.расходы, хозпринадлежности, картриджи</t>
  </si>
  <si>
    <t>ТО и ремонт ККМ,оргтехники, програм.обеспечение (Аргос)</t>
  </si>
  <si>
    <t>2014 год</t>
  </si>
  <si>
    <t>Услуги связи</t>
  </si>
  <si>
    <t>Услуги банка, два р/счета</t>
  </si>
  <si>
    <t>Отопление</t>
  </si>
  <si>
    <t>ГВС</t>
  </si>
  <si>
    <t>ХВС</t>
  </si>
  <si>
    <t>Канализация</t>
  </si>
  <si>
    <t>3.4</t>
  </si>
  <si>
    <t>Содержание, обслуживание и ремонт общ.имущества, итого:</t>
  </si>
  <si>
    <t>по кв.132983</t>
  </si>
  <si>
    <t>по кв.0</t>
  </si>
  <si>
    <t>факт. 39843</t>
  </si>
  <si>
    <t>факт 128284</t>
  </si>
  <si>
    <t>по кв. 234271</t>
  </si>
  <si>
    <t>Заработная плата АУП</t>
  </si>
  <si>
    <t>2.3.3</t>
  </si>
  <si>
    <t>2.3.4</t>
  </si>
  <si>
    <t>Всего расходов по содержанию общего имущества с управлен:</t>
  </si>
  <si>
    <t>Общим собранием членов ТСЖ "Кузьмолово"</t>
  </si>
  <si>
    <t xml:space="preserve">         УТВЕРЖДЕНА</t>
  </si>
  <si>
    <t>Смета на обслуживание жилых домов по адресу:пос.Кузьмоловский, ул.Заозерная, дома, 1,5,11 на 2015 год</t>
  </si>
  <si>
    <t>1.1.3</t>
  </si>
  <si>
    <t>Резерв на отпуск</t>
  </si>
  <si>
    <t>1.2.7</t>
  </si>
  <si>
    <t>1.2.8</t>
  </si>
  <si>
    <t>1.2.9</t>
  </si>
  <si>
    <t xml:space="preserve">Услуги ВЦ                                                                     </t>
  </si>
  <si>
    <t>Управленческие расходы (Содержание офиса)</t>
  </si>
  <si>
    <t>1.2.10</t>
  </si>
  <si>
    <t>Покупка ККМ</t>
  </si>
  <si>
    <t>за 1 кв. метр в месяц</t>
  </si>
  <si>
    <t>2015 год</t>
  </si>
  <si>
    <t>2.3.5</t>
  </si>
  <si>
    <t>2.3.6</t>
  </si>
  <si>
    <t>Заработная плата обслуживающего персонала (Уборщицы)</t>
  </si>
  <si>
    <t>2.1.3</t>
  </si>
  <si>
    <t>2.1.4</t>
  </si>
  <si>
    <t>2.1.5</t>
  </si>
  <si>
    <t>2.1.6</t>
  </si>
  <si>
    <t>Уборка мест общего пользования</t>
  </si>
  <si>
    <t>Расходные материалы и проч.</t>
  </si>
  <si>
    <t>ТО газовых котлов (дом 1)</t>
  </si>
  <si>
    <t>ТО лифтов,год. освидетельствование , ремонт (дом 5 этажи 3+)</t>
  </si>
  <si>
    <t>Газ МОП (дом 1)</t>
  </si>
  <si>
    <t>Заработная плата обслуживающего персонала</t>
  </si>
  <si>
    <t>Уборка придомовой территории</t>
  </si>
  <si>
    <t>Обслуживание мусоропроводов (дом 5)</t>
  </si>
  <si>
    <t>Заработная плата обслуживающего персонала (Дворники)</t>
  </si>
  <si>
    <t>ТО ССД (домофоны)</t>
  </si>
  <si>
    <t>Расходные материалы инвентарь,инструмент и хоз.принадлежности</t>
  </si>
  <si>
    <t>Прочие расходы</t>
  </si>
  <si>
    <t>Освещение МОП</t>
  </si>
  <si>
    <t>3.5</t>
  </si>
  <si>
    <t>3.6</t>
  </si>
  <si>
    <t>1.3</t>
  </si>
  <si>
    <t>1.3.1</t>
  </si>
  <si>
    <t>Диспетчерская служба</t>
  </si>
  <si>
    <t>1.3.2</t>
  </si>
  <si>
    <t>1.3.3</t>
  </si>
  <si>
    <t>1.3.4</t>
  </si>
  <si>
    <t>ТО УУТЭ (узлы учета тепловой энергии), метрологич.обследование</t>
  </si>
  <si>
    <t>ТО ВДГО (газовые сети, плиты в квартирах, счетчики)</t>
  </si>
  <si>
    <t xml:space="preserve">было за кв. метр </t>
  </si>
  <si>
    <t>ИТОГО ПО ВСЕМ ЗАТРАТАМ на 2015г.</t>
  </si>
  <si>
    <t>Аренда оргтехники и обновление программ</t>
  </si>
  <si>
    <t>Повышение квалификации, подписка</t>
  </si>
  <si>
    <t>Хостинг сайта ТСЖ "Кузьмолово"( компенсация поездки)</t>
  </si>
  <si>
    <t>мех.уборка</t>
  </si>
  <si>
    <t>Непредвиденные расходы:</t>
  </si>
  <si>
    <t>Ремонт под.4, дом 5</t>
  </si>
  <si>
    <t>Ремонт крылец дом 1,11,5</t>
  </si>
  <si>
    <t>Перенос диспетчерской</t>
  </si>
  <si>
    <t>Консультационные и юридические услуги (госпашлины+)</t>
  </si>
  <si>
    <t>Непредвиденные расходы, аварийные ремонты</t>
  </si>
  <si>
    <t xml:space="preserve">Заработная плата обслуживающего персонала </t>
  </si>
  <si>
    <t>Ремонт диспетчерской д.1 обои</t>
  </si>
  <si>
    <t>Страх.взн</t>
  </si>
  <si>
    <t>разница</t>
  </si>
  <si>
    <t>примечание</t>
  </si>
  <si>
    <t>штраф+авария</t>
  </si>
  <si>
    <t>Налог УСН -7%</t>
  </si>
  <si>
    <t>Протокол счетной комиссии № 1</t>
  </si>
  <si>
    <r>
      <t xml:space="preserve">от </t>
    </r>
    <r>
      <rPr>
        <u val="single"/>
        <sz val="11"/>
        <rFont val="Arial Cyr"/>
        <family val="0"/>
      </rPr>
      <t>" 01  "</t>
    </r>
    <r>
      <rPr>
        <sz val="11"/>
        <rFont val="Arial Cyr"/>
        <family val="0"/>
      </rPr>
      <t xml:space="preserve"> марта  20</t>
    </r>
    <r>
      <rPr>
        <u val="single"/>
        <sz val="11"/>
        <rFont val="Arial Cyr"/>
        <family val="0"/>
      </rPr>
      <t xml:space="preserve">15 </t>
    </r>
    <r>
      <rPr>
        <sz val="11"/>
        <rFont val="Arial Cyr"/>
        <family val="0"/>
      </rPr>
      <t>г.</t>
    </r>
  </si>
  <si>
    <t>исполнение сметы за год</t>
  </si>
  <si>
    <t>к.т+почта</t>
  </si>
  <si>
    <t>ккм+аргос</t>
  </si>
  <si>
    <t>юрист+госп</t>
  </si>
  <si>
    <t>ростелеком</t>
  </si>
  <si>
    <t>затраты бухг</t>
  </si>
  <si>
    <t>компенс.проезд</t>
  </si>
  <si>
    <t>осн+к/рем счета</t>
  </si>
  <si>
    <t>обуч+подписка</t>
  </si>
  <si>
    <t>расч.квитанц</t>
  </si>
  <si>
    <t>не исп.</t>
  </si>
  <si>
    <t>ср.для уборки</t>
  </si>
  <si>
    <t>в т.ч.280000 дог</t>
  </si>
  <si>
    <t>в т.ч. Баки17900</t>
  </si>
  <si>
    <t>Итого расходы:</t>
  </si>
  <si>
    <t>З.пл с НДФЛ</t>
  </si>
  <si>
    <t>то, год.ос., страх</t>
  </si>
  <si>
    <t>то, метрол.</t>
  </si>
  <si>
    <t>не опл.</t>
  </si>
  <si>
    <t>помен.тариф</t>
  </si>
  <si>
    <t>в т.ч.з.п+стр</t>
  </si>
  <si>
    <t>2 отп.Муньков</t>
  </si>
  <si>
    <t>2 чел.без отп.</t>
  </si>
  <si>
    <t>Александр!!!</t>
  </si>
  <si>
    <t>Посмотрите что получается, может есть замечания у Вас….</t>
  </si>
  <si>
    <t>С Полуниным договорились на утро понедельника.</t>
  </si>
  <si>
    <t>Если есть замечания правте в этой форме и возвращайте мне.</t>
  </si>
  <si>
    <t>от " 01  " марта  2015 г.</t>
  </si>
  <si>
    <t>%</t>
  </si>
  <si>
    <t>план</t>
  </si>
  <si>
    <t>факт</t>
  </si>
  <si>
    <t>Отчет об исполнении сметы на обслуживание жилых домов по адресу:</t>
  </si>
  <si>
    <t>пос.Кузьмоловский, ул.Заозерная, дома, 1,5,11 на 2015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</si>
</sst>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C19]d\ mmmm\ yyyy\ &quot;г.&quot;"/>
    <numFmt numFmtId="181" formatCode="000000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  <numFmt numFmtId="192" formatCode="0.0%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u val="single"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32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3" fillId="32" borderId="11" xfId="0" applyNumberFormat="1" applyFont="1" applyFill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10" fillId="0" borderId="0" xfId="0" applyNumberFormat="1" applyFont="1" applyAlignment="1">
      <alignment horizontal="left" vertical="center" indent="2"/>
    </xf>
    <xf numFmtId="1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 wrapText="1"/>
    </xf>
    <xf numFmtId="10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192" fontId="30" fillId="0" borderId="11" xfId="57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11" xfId="0" applyFont="1" applyBorder="1" applyAlignment="1">
      <alignment/>
    </xf>
    <xf numFmtId="192" fontId="0" fillId="0" borderId="11" xfId="57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92" zoomScaleNormal="92" zoomScaleSheetLayoutView="75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64.625" style="1" customWidth="1"/>
    <col min="3" max="3" width="20.125" style="52" customWidth="1"/>
    <col min="4" max="6" width="14.75390625" style="52" customWidth="1"/>
    <col min="7" max="7" width="17.375" style="52" customWidth="1"/>
    <col min="8" max="8" width="12.875" style="42" customWidth="1"/>
    <col min="9" max="9" width="10.625" style="1" hidden="1" customWidth="1"/>
    <col min="10" max="10" width="11.625" style="62" customWidth="1"/>
    <col min="11" max="11" width="12.125" style="1" hidden="1" customWidth="1"/>
    <col min="12" max="12" width="11.875" style="1" bestFit="1" customWidth="1"/>
    <col min="13" max="13" width="10.25390625" style="1" bestFit="1" customWidth="1"/>
    <col min="14" max="14" width="11.25390625" style="1" bestFit="1" customWidth="1"/>
    <col min="15" max="16384" width="9.125" style="1" customWidth="1"/>
  </cols>
  <sheetData>
    <row r="1" spans="1:8" ht="15">
      <c r="A1" s="35"/>
      <c r="B1" s="35"/>
      <c r="C1" s="83" t="s">
        <v>62</v>
      </c>
      <c r="D1" s="83"/>
      <c r="E1" s="83"/>
      <c r="F1" s="83"/>
      <c r="G1" s="83"/>
      <c r="H1" s="83"/>
    </row>
    <row r="2" spans="1:8" ht="15">
      <c r="A2" s="35"/>
      <c r="B2" s="35"/>
      <c r="C2" s="83" t="s">
        <v>61</v>
      </c>
      <c r="D2" s="83"/>
      <c r="E2" s="83"/>
      <c r="F2" s="83"/>
      <c r="G2" s="83"/>
      <c r="H2" s="83"/>
    </row>
    <row r="3" spans="1:8" ht="15">
      <c r="A3" s="35"/>
      <c r="B3" s="35"/>
      <c r="C3" s="83" t="s">
        <v>124</v>
      </c>
      <c r="D3" s="83"/>
      <c r="E3" s="83"/>
      <c r="F3" s="83"/>
      <c r="G3" s="83"/>
      <c r="H3" s="83"/>
    </row>
    <row r="4" spans="1:8" ht="15">
      <c r="A4" s="35"/>
      <c r="B4" s="35"/>
      <c r="C4" s="83" t="s">
        <v>125</v>
      </c>
      <c r="D4" s="83"/>
      <c r="E4" s="83"/>
      <c r="F4" s="83"/>
      <c r="G4" s="83"/>
      <c r="H4" s="83"/>
    </row>
    <row r="5" spans="2:8" ht="15">
      <c r="B5" s="85" t="s">
        <v>63</v>
      </c>
      <c r="C5" s="85"/>
      <c r="D5" s="85"/>
      <c r="E5" s="85"/>
      <c r="F5" s="85"/>
      <c r="G5" s="85"/>
      <c r="H5" s="85"/>
    </row>
    <row r="7" spans="1:10" ht="15">
      <c r="A7" s="2" t="s">
        <v>0</v>
      </c>
      <c r="B7" s="81" t="s">
        <v>1</v>
      </c>
      <c r="C7" s="84" t="s">
        <v>74</v>
      </c>
      <c r="D7" s="84"/>
      <c r="E7" s="84"/>
      <c r="F7" s="84"/>
      <c r="G7" s="84"/>
      <c r="H7" s="84"/>
      <c r="J7" s="63" t="s">
        <v>43</v>
      </c>
    </row>
    <row r="8" spans="1:10" ht="42.75">
      <c r="A8" s="4"/>
      <c r="B8" s="82"/>
      <c r="C8" s="60" t="s">
        <v>38</v>
      </c>
      <c r="D8" s="61" t="s">
        <v>36</v>
      </c>
      <c r="E8" s="61" t="s">
        <v>126</v>
      </c>
      <c r="F8" s="61" t="s">
        <v>120</v>
      </c>
      <c r="G8" s="61" t="s">
        <v>121</v>
      </c>
      <c r="H8" s="27" t="s">
        <v>73</v>
      </c>
      <c r="I8" s="64"/>
      <c r="J8" s="74" t="s">
        <v>105</v>
      </c>
    </row>
    <row r="9" spans="1:10" s="65" customFormat="1" ht="15">
      <c r="A9" s="3">
        <v>1</v>
      </c>
      <c r="B9" s="5" t="s">
        <v>2</v>
      </c>
      <c r="C9" s="50">
        <f>C11+C16+C29</f>
        <v>2258730</v>
      </c>
      <c r="D9" s="50">
        <f>D11+D16+D29</f>
        <v>188227.5</v>
      </c>
      <c r="E9" s="50">
        <f>E16+E11</f>
        <v>1676702.55</v>
      </c>
      <c r="F9" s="50">
        <f>F16+F11</f>
        <v>21093.449999999983</v>
      </c>
      <c r="G9" s="50"/>
      <c r="H9" s="33"/>
      <c r="I9" s="63">
        <v>15833.3</v>
      </c>
      <c r="J9" s="62">
        <v>10.2</v>
      </c>
    </row>
    <row r="10" spans="1:10" s="65" customFormat="1" ht="15">
      <c r="A10" s="3"/>
      <c r="B10" s="5"/>
      <c r="C10" s="50"/>
      <c r="D10" s="50"/>
      <c r="E10" s="50"/>
      <c r="F10" s="50"/>
      <c r="G10" s="50"/>
      <c r="H10" s="33"/>
      <c r="I10" s="63"/>
      <c r="J10" s="62"/>
    </row>
    <row r="11" spans="1:10" s="38" customFormat="1" ht="15">
      <c r="A11" s="6" t="s">
        <v>3</v>
      </c>
      <c r="B11" s="7" t="s">
        <v>4</v>
      </c>
      <c r="C11" s="50">
        <f>D11*12</f>
        <v>1394592</v>
      </c>
      <c r="D11" s="50">
        <f>SUM(D12:D14)</f>
        <v>116216</v>
      </c>
      <c r="E11" s="50">
        <f>SUM(E12:E14)</f>
        <v>1378254.55</v>
      </c>
      <c r="F11" s="50">
        <f>SUM(F12:F14)</f>
        <v>16337.449999999983</v>
      </c>
      <c r="G11" s="50"/>
      <c r="H11" s="33">
        <f>D11/I11</f>
        <v>7.33997334731231</v>
      </c>
      <c r="I11" s="38">
        <v>15833.3</v>
      </c>
      <c r="J11" s="66"/>
    </row>
    <row r="12" spans="1:9" ht="15">
      <c r="A12" s="8" t="s">
        <v>6</v>
      </c>
      <c r="B12" s="9" t="s">
        <v>57</v>
      </c>
      <c r="C12" s="53">
        <f>D12*12</f>
        <v>1008000</v>
      </c>
      <c r="D12" s="53">
        <v>84000</v>
      </c>
      <c r="E12" s="53">
        <v>1011347.51</v>
      </c>
      <c r="F12" s="53">
        <f>C12-E12</f>
        <v>-3347.5100000000093</v>
      </c>
      <c r="G12" s="53"/>
      <c r="H12" s="33"/>
      <c r="I12" s="1">
        <v>15833.3</v>
      </c>
    </row>
    <row r="13" spans="1:9" ht="15">
      <c r="A13" s="8" t="s">
        <v>5</v>
      </c>
      <c r="B13" s="9" t="s">
        <v>40</v>
      </c>
      <c r="C13" s="53">
        <f>D13*12</f>
        <v>304416</v>
      </c>
      <c r="D13" s="53">
        <f>D12*0.302</f>
        <v>25368</v>
      </c>
      <c r="E13" s="53">
        <v>305426.95</v>
      </c>
      <c r="F13" s="53">
        <f>C13-E13</f>
        <v>-1010.9500000000116</v>
      </c>
      <c r="G13" s="53"/>
      <c r="H13" s="33"/>
      <c r="I13" s="1">
        <v>15833.3</v>
      </c>
    </row>
    <row r="14" spans="1:9" ht="15">
      <c r="A14" s="8" t="s">
        <v>64</v>
      </c>
      <c r="B14" s="15" t="s">
        <v>65</v>
      </c>
      <c r="C14" s="53">
        <f>D14*12</f>
        <v>82176</v>
      </c>
      <c r="D14" s="53">
        <v>6848</v>
      </c>
      <c r="E14" s="53">
        <v>61480.09</v>
      </c>
      <c r="F14" s="53">
        <f>C14-E14</f>
        <v>20695.910000000003</v>
      </c>
      <c r="G14" s="53"/>
      <c r="H14" s="33"/>
      <c r="I14" s="1">
        <v>15833.3</v>
      </c>
    </row>
    <row r="15" spans="1:8" ht="15">
      <c r="A15" s="8"/>
      <c r="B15" s="15"/>
      <c r="C15" s="50"/>
      <c r="D15" s="53"/>
      <c r="E15" s="53"/>
      <c r="F15" s="53"/>
      <c r="G15" s="53"/>
      <c r="H15" s="33"/>
    </row>
    <row r="16" spans="1:10" s="38" customFormat="1" ht="15">
      <c r="A16" s="6" t="s">
        <v>7</v>
      </c>
      <c r="B16" s="7" t="s">
        <v>70</v>
      </c>
      <c r="C16" s="50">
        <f>SUM(C17:C26)</f>
        <v>303204</v>
      </c>
      <c r="D16" s="50">
        <f>SUM(D17:D26)</f>
        <v>25267</v>
      </c>
      <c r="E16" s="50">
        <f>SUM(E17:E26)</f>
        <v>298448</v>
      </c>
      <c r="F16" s="50">
        <f>C16-E16</f>
        <v>4756</v>
      </c>
      <c r="G16" s="50"/>
      <c r="H16" s="33">
        <f>D16/I16</f>
        <v>1.5958138859239703</v>
      </c>
      <c r="I16" s="38">
        <v>15833.3</v>
      </c>
      <c r="J16" s="67"/>
    </row>
    <row r="17" spans="1:11" ht="15">
      <c r="A17" s="14" t="s">
        <v>8</v>
      </c>
      <c r="B17" s="15" t="s">
        <v>41</v>
      </c>
      <c r="C17" s="54">
        <f aca="true" t="shared" si="0" ref="C17:C26">D17*12</f>
        <v>9600</v>
      </c>
      <c r="D17" s="54">
        <v>800</v>
      </c>
      <c r="E17" s="54">
        <f>1150+6674.48+1318.75</f>
        <v>9143.23</v>
      </c>
      <c r="F17" s="53">
        <f aca="true" t="shared" si="1" ref="F17:F26">C17-E17</f>
        <v>456.77000000000044</v>
      </c>
      <c r="G17" s="53" t="s">
        <v>127</v>
      </c>
      <c r="H17" s="31"/>
      <c r="I17" s="1">
        <v>15833.3</v>
      </c>
      <c r="J17" s="67"/>
      <c r="K17" s="26"/>
    </row>
    <row r="18" spans="1:10" ht="15">
      <c r="A18" s="14" t="s">
        <v>9</v>
      </c>
      <c r="B18" s="15" t="s">
        <v>42</v>
      </c>
      <c r="C18" s="54">
        <f t="shared" si="0"/>
        <v>18000</v>
      </c>
      <c r="D18" s="54">
        <v>1500</v>
      </c>
      <c r="E18" s="54">
        <f>14200+3900+5062</f>
        <v>23162</v>
      </c>
      <c r="F18" s="53">
        <f t="shared" si="1"/>
        <v>-5162</v>
      </c>
      <c r="G18" s="53" t="s">
        <v>128</v>
      </c>
      <c r="H18" s="31"/>
      <c r="I18" s="1">
        <v>15833.3</v>
      </c>
      <c r="J18" s="67"/>
    </row>
    <row r="19" spans="1:11" ht="15">
      <c r="A19" s="14" t="s">
        <v>10</v>
      </c>
      <c r="B19" s="15" t="s">
        <v>115</v>
      </c>
      <c r="C19" s="54">
        <f t="shared" si="0"/>
        <v>99600</v>
      </c>
      <c r="D19" s="55">
        <v>8300</v>
      </c>
      <c r="E19" s="55">
        <f>70000+35859.78</f>
        <v>105859.78</v>
      </c>
      <c r="F19" s="53">
        <f t="shared" si="1"/>
        <v>-6259.779999999999</v>
      </c>
      <c r="G19" s="53" t="s">
        <v>129</v>
      </c>
      <c r="H19" s="31"/>
      <c r="I19" s="1">
        <v>15833.3</v>
      </c>
      <c r="J19" s="67"/>
      <c r="K19" s="26"/>
    </row>
    <row r="20" spans="1:11" ht="15">
      <c r="A20" s="14" t="s">
        <v>11</v>
      </c>
      <c r="B20" s="15" t="s">
        <v>44</v>
      </c>
      <c r="C20" s="54">
        <f t="shared" si="0"/>
        <v>13200</v>
      </c>
      <c r="D20" s="54">
        <v>1100</v>
      </c>
      <c r="E20" s="54">
        <v>12731.81</v>
      </c>
      <c r="F20" s="53">
        <f t="shared" si="1"/>
        <v>468.1900000000005</v>
      </c>
      <c r="G20" s="53" t="s">
        <v>130</v>
      </c>
      <c r="H20" s="31"/>
      <c r="I20" s="1">
        <v>15833.3</v>
      </c>
      <c r="K20" s="26"/>
    </row>
    <row r="21" spans="1:11" ht="15">
      <c r="A21" s="14" t="s">
        <v>12</v>
      </c>
      <c r="B21" s="15" t="s">
        <v>107</v>
      </c>
      <c r="C21" s="54">
        <f t="shared" si="0"/>
        <v>40800</v>
      </c>
      <c r="D21" s="54">
        <v>3400</v>
      </c>
      <c r="E21" s="54">
        <v>30000</v>
      </c>
      <c r="F21" s="53">
        <f t="shared" si="1"/>
        <v>10800</v>
      </c>
      <c r="G21" s="53" t="s">
        <v>131</v>
      </c>
      <c r="H21" s="31"/>
      <c r="I21" s="1">
        <v>15833.3</v>
      </c>
      <c r="K21" s="64"/>
    </row>
    <row r="22" spans="1:11" ht="15">
      <c r="A22" s="14" t="s">
        <v>13</v>
      </c>
      <c r="B22" s="15" t="s">
        <v>109</v>
      </c>
      <c r="C22" s="54">
        <f t="shared" si="0"/>
        <v>2400</v>
      </c>
      <c r="D22" s="54">
        <v>200</v>
      </c>
      <c r="E22" s="54">
        <f>6024.87+560</f>
        <v>6584.87</v>
      </c>
      <c r="F22" s="53">
        <f t="shared" si="1"/>
        <v>-4184.87</v>
      </c>
      <c r="G22" s="53" t="s">
        <v>132</v>
      </c>
      <c r="H22" s="31"/>
      <c r="I22" s="1">
        <v>15833.3</v>
      </c>
      <c r="J22" s="66"/>
      <c r="K22" s="64"/>
    </row>
    <row r="23" spans="1:11" ht="15">
      <c r="A23" s="14" t="s">
        <v>66</v>
      </c>
      <c r="B23" s="15" t="s">
        <v>45</v>
      </c>
      <c r="C23" s="54">
        <f t="shared" si="0"/>
        <v>30000</v>
      </c>
      <c r="D23" s="54">
        <v>2500</v>
      </c>
      <c r="E23" s="54">
        <f>24235.56+12942.75</f>
        <v>37178.31</v>
      </c>
      <c r="F23" s="53">
        <f t="shared" si="1"/>
        <v>-7178.309999999998</v>
      </c>
      <c r="G23" s="53" t="s">
        <v>133</v>
      </c>
      <c r="H23" s="31"/>
      <c r="I23" s="1">
        <v>15833.3</v>
      </c>
      <c r="K23" s="64"/>
    </row>
    <row r="24" spans="1:11" ht="15">
      <c r="A24" s="14" t="s">
        <v>67</v>
      </c>
      <c r="B24" s="15" t="s">
        <v>108</v>
      </c>
      <c r="C24" s="54">
        <f t="shared" si="0"/>
        <v>12000</v>
      </c>
      <c r="D24" s="54">
        <v>1000</v>
      </c>
      <c r="E24" s="54">
        <f>1200+12276</f>
        <v>13476</v>
      </c>
      <c r="F24" s="53">
        <f t="shared" si="1"/>
        <v>-1476</v>
      </c>
      <c r="G24" s="53" t="s">
        <v>134</v>
      </c>
      <c r="H24" s="31"/>
      <c r="I24" s="1">
        <v>15833.3</v>
      </c>
      <c r="K24" s="64"/>
    </row>
    <row r="25" spans="1:11" ht="15">
      <c r="A25" s="14" t="s">
        <v>68</v>
      </c>
      <c r="B25" s="15" t="s">
        <v>69</v>
      </c>
      <c r="C25" s="54">
        <f t="shared" si="0"/>
        <v>57600</v>
      </c>
      <c r="D25" s="54">
        <v>4800</v>
      </c>
      <c r="E25" s="54">
        <v>60312</v>
      </c>
      <c r="F25" s="53">
        <f t="shared" si="1"/>
        <v>-2712</v>
      </c>
      <c r="G25" s="53" t="s">
        <v>135</v>
      </c>
      <c r="H25" s="31"/>
      <c r="I25" s="1">
        <v>15833.3</v>
      </c>
      <c r="K25" s="64"/>
    </row>
    <row r="26" spans="1:11" ht="15">
      <c r="A26" s="14" t="s">
        <v>71</v>
      </c>
      <c r="B26" s="15" t="s">
        <v>72</v>
      </c>
      <c r="C26" s="54">
        <f t="shared" si="0"/>
        <v>20004</v>
      </c>
      <c r="D26" s="54">
        <v>1667</v>
      </c>
      <c r="E26" s="54"/>
      <c r="F26" s="53">
        <f t="shared" si="1"/>
        <v>20004</v>
      </c>
      <c r="G26" s="53" t="s">
        <v>136</v>
      </c>
      <c r="H26" s="31"/>
      <c r="I26" s="1">
        <v>15833.3</v>
      </c>
      <c r="K26" s="64"/>
    </row>
    <row r="27" spans="1:11" ht="15">
      <c r="A27" s="14"/>
      <c r="B27" s="15"/>
      <c r="C27" s="54"/>
      <c r="D27" s="54"/>
      <c r="E27" s="54"/>
      <c r="F27" s="54"/>
      <c r="G27" s="54"/>
      <c r="H27" s="31"/>
      <c r="I27" s="1">
        <v>15833.3</v>
      </c>
      <c r="K27" s="64"/>
    </row>
    <row r="28" spans="1:11" s="38" customFormat="1" ht="15">
      <c r="A28" s="19" t="s">
        <v>97</v>
      </c>
      <c r="B28" s="13" t="s">
        <v>99</v>
      </c>
      <c r="C28" s="49"/>
      <c r="D28" s="49"/>
      <c r="E28" s="49"/>
      <c r="F28" s="49"/>
      <c r="G28" s="49"/>
      <c r="H28" s="32"/>
      <c r="I28" s="1">
        <v>15833.3</v>
      </c>
      <c r="J28" s="66"/>
      <c r="K28" s="68"/>
    </row>
    <row r="29" spans="1:11" ht="15">
      <c r="A29" s="14" t="s">
        <v>98</v>
      </c>
      <c r="B29" s="13" t="s">
        <v>16</v>
      </c>
      <c r="C29" s="49">
        <f>D29*12</f>
        <v>560934</v>
      </c>
      <c r="D29" s="49">
        <f>SUM(D30:D32)</f>
        <v>46744.5</v>
      </c>
      <c r="E29" s="49">
        <f>E30+E31+E32</f>
        <v>575390.47</v>
      </c>
      <c r="F29" s="49">
        <f>F30+F31+F32</f>
        <v>-14456.470000000023</v>
      </c>
      <c r="G29" s="49"/>
      <c r="H29" s="33">
        <f>D29/I29</f>
        <v>2.952290425874581</v>
      </c>
      <c r="I29" s="1">
        <v>15833.3</v>
      </c>
      <c r="J29" s="62">
        <v>2.1</v>
      </c>
      <c r="K29" s="64"/>
    </row>
    <row r="30" spans="1:11" ht="15">
      <c r="A30" s="14" t="s">
        <v>100</v>
      </c>
      <c r="B30" s="15" t="s">
        <v>117</v>
      </c>
      <c r="C30" s="54">
        <f>D30*12</f>
        <v>397440</v>
      </c>
      <c r="D30" s="54">
        <v>33120</v>
      </c>
      <c r="E30" s="54">
        <v>396533.03</v>
      </c>
      <c r="F30" s="49">
        <f>C30-E30</f>
        <v>906.9699999999721</v>
      </c>
      <c r="G30" s="49"/>
      <c r="H30" s="31"/>
      <c r="K30" s="64"/>
    </row>
    <row r="31" spans="1:11" ht="15">
      <c r="A31" s="14" t="s">
        <v>101</v>
      </c>
      <c r="B31" s="15" t="s">
        <v>39</v>
      </c>
      <c r="C31" s="54">
        <f>D31*12</f>
        <v>120026.88</v>
      </c>
      <c r="D31" s="54">
        <v>10002.24</v>
      </c>
      <c r="E31" s="54">
        <v>119752.97</v>
      </c>
      <c r="F31" s="49">
        <f>C31-E31</f>
        <v>273.9100000000035</v>
      </c>
      <c r="G31" s="49"/>
      <c r="H31" s="31"/>
      <c r="K31" s="64"/>
    </row>
    <row r="32" spans="1:11" ht="15">
      <c r="A32" s="14" t="s">
        <v>102</v>
      </c>
      <c r="B32" s="15" t="s">
        <v>65</v>
      </c>
      <c r="C32" s="54">
        <f>D32*12</f>
        <v>43467.12</v>
      </c>
      <c r="D32" s="54">
        <v>3622.26</v>
      </c>
      <c r="E32" s="54">
        <v>59104.47</v>
      </c>
      <c r="F32" s="49">
        <f>C32-E32</f>
        <v>-15637.349999999999</v>
      </c>
      <c r="G32" s="54" t="s">
        <v>147</v>
      </c>
      <c r="H32" s="31"/>
      <c r="K32" s="64"/>
    </row>
    <row r="33" spans="1:11" ht="15">
      <c r="A33" s="14"/>
      <c r="B33" s="15"/>
      <c r="C33" s="54"/>
      <c r="D33" s="54"/>
      <c r="E33" s="54"/>
      <c r="F33" s="54"/>
      <c r="G33" s="54"/>
      <c r="H33" s="31"/>
      <c r="I33" s="1">
        <v>15833.3</v>
      </c>
      <c r="J33" s="69"/>
      <c r="K33" s="64"/>
    </row>
    <row r="34" spans="1:10" s="65" customFormat="1" ht="15">
      <c r="A34" s="17" t="s">
        <v>14</v>
      </c>
      <c r="B34" s="18" t="s">
        <v>51</v>
      </c>
      <c r="C34" s="49">
        <f>C44+C36+C52+C61</f>
        <v>2517116.3880000003</v>
      </c>
      <c r="D34" s="49">
        <f>D44+D36+D52+D61</f>
        <v>209759.699</v>
      </c>
      <c r="E34" s="49">
        <f>E36+E42+E44+E50+E52+E58</f>
        <v>2543647.27</v>
      </c>
      <c r="F34" s="49">
        <f>F36+F42+F44+F50+F52+F58+F61</f>
        <v>-21993.90999999983</v>
      </c>
      <c r="G34" s="49"/>
      <c r="H34" s="31"/>
      <c r="I34" s="63">
        <v>15833.3</v>
      </c>
      <c r="J34" s="62"/>
    </row>
    <row r="35" spans="1:10" s="65" customFormat="1" ht="15">
      <c r="A35" s="17"/>
      <c r="B35" s="18"/>
      <c r="C35" s="49"/>
      <c r="D35" s="49"/>
      <c r="E35" s="49"/>
      <c r="F35" s="49"/>
      <c r="G35" s="49"/>
      <c r="H35" s="31"/>
      <c r="I35" s="63"/>
      <c r="J35" s="62"/>
    </row>
    <row r="36" spans="1:10" s="38" customFormat="1" ht="15">
      <c r="A36" s="19" t="s">
        <v>15</v>
      </c>
      <c r="B36" s="13" t="s">
        <v>82</v>
      </c>
      <c r="C36" s="49">
        <f aca="true" t="shared" si="2" ref="C36:C42">D36*12</f>
        <v>408881.88</v>
      </c>
      <c r="D36" s="49">
        <f>SUM(D38:D41)</f>
        <v>34073.49</v>
      </c>
      <c r="E36" s="49">
        <f>E37+E41</f>
        <v>382562.66</v>
      </c>
      <c r="F36" s="49">
        <f aca="true" t="shared" si="3" ref="F36:F42">C36-E36</f>
        <v>26319.22000000003</v>
      </c>
      <c r="G36" s="49"/>
      <c r="H36" s="31">
        <f>D36/I36</f>
        <v>2.152014425293527</v>
      </c>
      <c r="I36" s="38">
        <v>15833.3</v>
      </c>
      <c r="J36" s="62">
        <v>1.99</v>
      </c>
    </row>
    <row r="37" spans="1:10" s="38" customFormat="1" ht="15">
      <c r="A37" s="14" t="s">
        <v>17</v>
      </c>
      <c r="B37" s="13" t="s">
        <v>16</v>
      </c>
      <c r="C37" s="49">
        <f t="shared" si="2"/>
        <v>408881.88</v>
      </c>
      <c r="D37" s="49">
        <f>SUM(D38:D40)+D41</f>
        <v>34073.49</v>
      </c>
      <c r="E37" s="49">
        <f>E38+E39+E40</f>
        <v>371844.66</v>
      </c>
      <c r="F37" s="49">
        <f t="shared" si="3"/>
        <v>37037.22000000003</v>
      </c>
      <c r="G37" s="54"/>
      <c r="H37" s="31"/>
      <c r="J37" s="62"/>
    </row>
    <row r="38" spans="1:8" ht="15">
      <c r="A38" s="14" t="s">
        <v>18</v>
      </c>
      <c r="B38" s="15" t="s">
        <v>77</v>
      </c>
      <c r="C38" s="54">
        <f t="shared" si="2"/>
        <v>281520</v>
      </c>
      <c r="D38" s="54">
        <v>23460</v>
      </c>
      <c r="E38" s="54">
        <v>277091.66</v>
      </c>
      <c r="F38" s="54">
        <f t="shared" si="3"/>
        <v>4428.340000000026</v>
      </c>
      <c r="G38" s="54"/>
      <c r="H38" s="31"/>
    </row>
    <row r="39" spans="1:8" ht="15">
      <c r="A39" s="14" t="s">
        <v>78</v>
      </c>
      <c r="B39" s="15" t="s">
        <v>39</v>
      </c>
      <c r="C39" s="54">
        <f t="shared" si="2"/>
        <v>85019.04000000001</v>
      </c>
      <c r="D39" s="54">
        <v>7084.92</v>
      </c>
      <c r="E39" s="54">
        <v>83681</v>
      </c>
      <c r="F39" s="54">
        <f t="shared" si="3"/>
        <v>1338.0400000000081</v>
      </c>
      <c r="G39" s="54"/>
      <c r="H39" s="31"/>
    </row>
    <row r="40" spans="1:8" ht="15">
      <c r="A40" s="14" t="s">
        <v>79</v>
      </c>
      <c r="B40" s="15" t="s">
        <v>65</v>
      </c>
      <c r="C40" s="54">
        <f t="shared" si="2"/>
        <v>30789.239999999998</v>
      </c>
      <c r="D40" s="54">
        <v>2565.77</v>
      </c>
      <c r="E40" s="54">
        <v>11072</v>
      </c>
      <c r="F40" s="54">
        <f t="shared" si="3"/>
        <v>19717.239999999998</v>
      </c>
      <c r="G40" s="54" t="s">
        <v>148</v>
      </c>
      <c r="H40" s="31"/>
    </row>
    <row r="41" spans="1:8" ht="15">
      <c r="A41" s="14" t="s">
        <v>80</v>
      </c>
      <c r="B41" s="15" t="s">
        <v>83</v>
      </c>
      <c r="C41" s="54">
        <f t="shared" si="2"/>
        <v>11553.599999999999</v>
      </c>
      <c r="D41" s="54">
        <v>962.8</v>
      </c>
      <c r="E41" s="54">
        <v>10718</v>
      </c>
      <c r="F41" s="54">
        <f t="shared" si="3"/>
        <v>835.5999999999985</v>
      </c>
      <c r="G41" s="54" t="s">
        <v>137</v>
      </c>
      <c r="H41" s="31"/>
    </row>
    <row r="42" spans="1:10" s="65" customFormat="1" ht="15">
      <c r="A42" s="17" t="s">
        <v>81</v>
      </c>
      <c r="B42" s="18" t="s">
        <v>89</v>
      </c>
      <c r="C42" s="49">
        <f t="shared" si="2"/>
        <v>108261.36000000002</v>
      </c>
      <c r="D42" s="49">
        <v>9021.78</v>
      </c>
      <c r="E42" s="49">
        <f>10900+75608.82+7000+22834</f>
        <v>116342.82</v>
      </c>
      <c r="F42" s="49">
        <f t="shared" si="3"/>
        <v>-8081.459999999992</v>
      </c>
      <c r="G42" s="30" t="s">
        <v>139</v>
      </c>
      <c r="H42" s="31"/>
      <c r="I42" s="65">
        <v>7351.5</v>
      </c>
      <c r="J42" s="62">
        <v>1.15</v>
      </c>
    </row>
    <row r="43" spans="1:8" ht="15">
      <c r="A43" s="14"/>
      <c r="B43" s="9"/>
      <c r="C43" s="53"/>
      <c r="D43" s="53"/>
      <c r="E43" s="53"/>
      <c r="F43" s="53"/>
      <c r="G43" s="53"/>
      <c r="H43" s="46"/>
    </row>
    <row r="44" spans="1:14" s="38" customFormat="1" ht="15">
      <c r="A44" s="19" t="s">
        <v>19</v>
      </c>
      <c r="B44" s="13" t="s">
        <v>88</v>
      </c>
      <c r="C44" s="49">
        <f aca="true" t="shared" si="4" ref="C44:C49">D44*12</f>
        <v>471454.56000000006</v>
      </c>
      <c r="D44" s="49">
        <f>D45+D49</f>
        <v>39287.880000000005</v>
      </c>
      <c r="E44" s="49">
        <f>E49+E45</f>
        <v>511080.83</v>
      </c>
      <c r="F44" s="49">
        <f aca="true" t="shared" si="5" ref="F44:F50">C44-E44</f>
        <v>-39626.26999999996</v>
      </c>
      <c r="G44" s="49"/>
      <c r="H44" s="31">
        <f>D44/I44</f>
        <v>2.4813450133579233</v>
      </c>
      <c r="I44" s="38">
        <v>15833.3</v>
      </c>
      <c r="J44" s="62">
        <v>1.99</v>
      </c>
      <c r="K44" s="68"/>
      <c r="L44" s="66"/>
      <c r="N44" s="66"/>
    </row>
    <row r="45" spans="1:12" s="38" customFormat="1" ht="15">
      <c r="A45" s="14" t="s">
        <v>20</v>
      </c>
      <c r="B45" s="13" t="s">
        <v>16</v>
      </c>
      <c r="C45" s="49">
        <f t="shared" si="4"/>
        <v>466496.64</v>
      </c>
      <c r="D45" s="49">
        <f>SUM(D46:D48)</f>
        <v>38874.72</v>
      </c>
      <c r="E45" s="49">
        <f>E46+E47+E48</f>
        <v>498530.83</v>
      </c>
      <c r="F45" s="49">
        <f t="shared" si="5"/>
        <v>-32034.190000000002</v>
      </c>
      <c r="G45" s="49"/>
      <c r="H45" s="31"/>
      <c r="J45" s="62"/>
      <c r="K45" s="68"/>
      <c r="L45" s="66"/>
    </row>
    <row r="46" spans="1:12" s="38" customFormat="1" ht="15">
      <c r="A46" s="14" t="s">
        <v>21</v>
      </c>
      <c r="B46" s="15" t="s">
        <v>90</v>
      </c>
      <c r="C46" s="54">
        <f t="shared" si="4"/>
        <v>330528</v>
      </c>
      <c r="D46" s="54">
        <v>27544</v>
      </c>
      <c r="E46" s="54">
        <f>280000+144137.42</f>
        <v>424137.42000000004</v>
      </c>
      <c r="F46" s="49">
        <f t="shared" si="5"/>
        <v>-93609.42000000004</v>
      </c>
      <c r="G46" s="54" t="s">
        <v>138</v>
      </c>
      <c r="H46" s="31"/>
      <c r="J46" s="62"/>
      <c r="K46" s="68"/>
      <c r="L46" s="66"/>
    </row>
    <row r="47" spans="1:12" s="38" customFormat="1" ht="15">
      <c r="A47" s="14" t="s">
        <v>23</v>
      </c>
      <c r="B47" s="15" t="s">
        <v>39</v>
      </c>
      <c r="C47" s="54">
        <f t="shared" si="4"/>
        <v>99819.48000000001</v>
      </c>
      <c r="D47" s="54">
        <v>8318.29</v>
      </c>
      <c r="E47" s="54">
        <v>43529.5</v>
      </c>
      <c r="F47" s="49">
        <f t="shared" si="5"/>
        <v>56289.98000000001</v>
      </c>
      <c r="G47" s="49"/>
      <c r="H47" s="31"/>
      <c r="J47" s="62"/>
      <c r="K47" s="68"/>
      <c r="L47" s="66"/>
    </row>
    <row r="48" spans="1:12" s="38" customFormat="1" ht="15">
      <c r="A48" s="14" t="s">
        <v>24</v>
      </c>
      <c r="B48" s="15" t="s">
        <v>65</v>
      </c>
      <c r="C48" s="54">
        <f t="shared" si="4"/>
        <v>36149.159999999996</v>
      </c>
      <c r="D48" s="54">
        <v>3012.43</v>
      </c>
      <c r="E48" s="54">
        <v>30863.91</v>
      </c>
      <c r="F48" s="49">
        <f t="shared" si="5"/>
        <v>5285.249999999996</v>
      </c>
      <c r="G48" s="49"/>
      <c r="H48" s="31"/>
      <c r="J48" s="62"/>
      <c r="K48" s="68"/>
      <c r="L48" s="66"/>
    </row>
    <row r="49" spans="1:12" s="38" customFormat="1" ht="15">
      <c r="A49" s="14" t="s">
        <v>25</v>
      </c>
      <c r="B49" s="15" t="s">
        <v>92</v>
      </c>
      <c r="C49" s="54">
        <f t="shared" si="4"/>
        <v>4957.92</v>
      </c>
      <c r="D49" s="54">
        <v>413.16</v>
      </c>
      <c r="E49" s="54">
        <v>12550</v>
      </c>
      <c r="F49" s="49">
        <f t="shared" si="5"/>
        <v>-7592.08</v>
      </c>
      <c r="G49" s="30" t="s">
        <v>110</v>
      </c>
      <c r="H49" s="31"/>
      <c r="J49" s="62"/>
      <c r="K49" s="68"/>
      <c r="L49" s="66"/>
    </row>
    <row r="50" spans="1:12" s="38" customFormat="1" ht="15">
      <c r="A50" s="17" t="s">
        <v>26</v>
      </c>
      <c r="B50" s="18" t="s">
        <v>22</v>
      </c>
      <c r="C50" s="49">
        <v>615000</v>
      </c>
      <c r="D50" s="49">
        <f>C50/12</f>
        <v>51250</v>
      </c>
      <c r="E50" s="49">
        <f>138873.5+510850.5</f>
        <v>649724</v>
      </c>
      <c r="F50" s="49">
        <f t="shared" si="5"/>
        <v>-34724</v>
      </c>
      <c r="G50" s="49"/>
      <c r="H50" s="41">
        <v>3.57</v>
      </c>
      <c r="I50" s="65">
        <v>15833.3</v>
      </c>
      <c r="J50" s="62">
        <v>3.57</v>
      </c>
      <c r="K50" s="68"/>
      <c r="L50" s="66"/>
    </row>
    <row r="51" spans="1:14" s="38" customFormat="1" ht="15">
      <c r="A51" s="14"/>
      <c r="B51" s="13"/>
      <c r="C51" s="49"/>
      <c r="D51" s="49"/>
      <c r="E51" s="49"/>
      <c r="F51" s="49"/>
      <c r="G51" s="49"/>
      <c r="H51" s="31"/>
      <c r="J51" s="66"/>
      <c r="N51" s="70"/>
    </row>
    <row r="52" spans="1:14" s="38" customFormat="1" ht="15">
      <c r="A52" s="19" t="s">
        <v>28</v>
      </c>
      <c r="B52" s="13" t="s">
        <v>29</v>
      </c>
      <c r="C52" s="49">
        <f aca="true" t="shared" si="6" ref="C52:C57">D52*12</f>
        <v>864055.56</v>
      </c>
      <c r="D52" s="49">
        <f>D53+D57</f>
        <v>72004.63</v>
      </c>
      <c r="E52" s="49">
        <f>E53+E57</f>
        <v>804988.96</v>
      </c>
      <c r="F52" s="49">
        <f aca="true" t="shared" si="7" ref="F52:F58">C52-E52</f>
        <v>59066.60000000009</v>
      </c>
      <c r="G52" s="49"/>
      <c r="H52" s="33">
        <f>D52/I52</f>
        <v>4.547670416148245</v>
      </c>
      <c r="I52" s="38">
        <v>15833.3</v>
      </c>
      <c r="J52" s="62">
        <v>3.2</v>
      </c>
      <c r="K52" s="39"/>
      <c r="N52" s="70"/>
    </row>
    <row r="53" spans="1:14" s="38" customFormat="1" ht="15">
      <c r="A53" s="14" t="s">
        <v>30</v>
      </c>
      <c r="B53" s="13" t="s">
        <v>16</v>
      </c>
      <c r="C53" s="49">
        <f t="shared" si="6"/>
        <v>579056.16</v>
      </c>
      <c r="D53" s="49">
        <f>D54+D55+D56</f>
        <v>48254.68</v>
      </c>
      <c r="E53" s="49">
        <f>E54+E55+E56</f>
        <v>539282.43</v>
      </c>
      <c r="F53" s="49">
        <f t="shared" si="7"/>
        <v>39773.72999999998</v>
      </c>
      <c r="G53" s="49"/>
      <c r="H53" s="18"/>
      <c r="I53" s="40"/>
      <c r="J53" s="48"/>
      <c r="K53" s="40"/>
      <c r="N53" s="70"/>
    </row>
    <row r="54" spans="1:14" s="38" customFormat="1" ht="15">
      <c r="A54" s="14" t="s">
        <v>31</v>
      </c>
      <c r="B54" s="15" t="s">
        <v>87</v>
      </c>
      <c r="C54" s="54">
        <f t="shared" si="6"/>
        <v>410280</v>
      </c>
      <c r="D54" s="54">
        <v>34190</v>
      </c>
      <c r="E54" s="54">
        <f>363295.82+39500.31</f>
        <v>402796.13</v>
      </c>
      <c r="F54" s="49">
        <f t="shared" si="7"/>
        <v>7483.869999999995</v>
      </c>
      <c r="G54" s="49"/>
      <c r="H54" s="33"/>
      <c r="J54" s="62"/>
      <c r="K54" s="28"/>
      <c r="N54" s="70"/>
    </row>
    <row r="55" spans="1:14" s="38" customFormat="1" ht="15">
      <c r="A55" s="14" t="s">
        <v>58</v>
      </c>
      <c r="B55" s="9" t="s">
        <v>40</v>
      </c>
      <c r="C55" s="54">
        <f t="shared" si="6"/>
        <v>123904.56</v>
      </c>
      <c r="D55" s="54">
        <v>10325.38</v>
      </c>
      <c r="E55" s="54">
        <v>108486</v>
      </c>
      <c r="F55" s="49">
        <f t="shared" si="7"/>
        <v>15418.559999999998</v>
      </c>
      <c r="G55" s="49"/>
      <c r="H55" s="33"/>
      <c r="J55" s="66"/>
      <c r="N55" s="70"/>
    </row>
    <row r="56" spans="1:11" ht="15">
      <c r="A56" s="14" t="s">
        <v>59</v>
      </c>
      <c r="B56" s="15" t="s">
        <v>65</v>
      </c>
      <c r="C56" s="54">
        <f t="shared" si="6"/>
        <v>44871.600000000006</v>
      </c>
      <c r="D56" s="54">
        <v>3739.3</v>
      </c>
      <c r="E56" s="54">
        <v>28000.3</v>
      </c>
      <c r="F56" s="49">
        <f t="shared" si="7"/>
        <v>16871.300000000007</v>
      </c>
      <c r="G56" s="49"/>
      <c r="H56" s="33"/>
      <c r="I56" s="38"/>
      <c r="K56" s="28"/>
    </row>
    <row r="57" spans="1:11" ht="15">
      <c r="A57" s="14" t="s">
        <v>75</v>
      </c>
      <c r="B57" s="15" t="s">
        <v>37</v>
      </c>
      <c r="C57" s="54">
        <f t="shared" si="6"/>
        <v>284999.39999999997</v>
      </c>
      <c r="D57" s="54">
        <f>K57*I57</f>
        <v>23749.949999999997</v>
      </c>
      <c r="E57" s="54">
        <f>39975+1470+59695+38214.35+19499.57+8694+31300+7854+8290+82981.7-19662-12605.09</f>
        <v>265706.52999999997</v>
      </c>
      <c r="F57" s="49">
        <f t="shared" si="7"/>
        <v>19292.869999999995</v>
      </c>
      <c r="G57" s="49"/>
      <c r="H57" s="46"/>
      <c r="I57" s="1">
        <v>15833.3</v>
      </c>
      <c r="K57" s="30">
        <v>1.5</v>
      </c>
    </row>
    <row r="58" spans="1:11" s="65" customFormat="1" ht="15">
      <c r="A58" s="17" t="s">
        <v>76</v>
      </c>
      <c r="B58" s="18" t="s">
        <v>116</v>
      </c>
      <c r="C58" s="49">
        <v>54000</v>
      </c>
      <c r="D58" s="49">
        <v>4500</v>
      </c>
      <c r="E58" s="49">
        <f>40000+34948+4000</f>
        <v>78948</v>
      </c>
      <c r="F58" s="49">
        <f t="shared" si="7"/>
        <v>-24948</v>
      </c>
      <c r="G58" s="78" t="s">
        <v>122</v>
      </c>
      <c r="J58" s="62"/>
      <c r="K58" s="72"/>
    </row>
    <row r="59" spans="1:12" ht="15">
      <c r="A59" s="14"/>
      <c r="B59" s="15"/>
      <c r="C59" s="54"/>
      <c r="D59" s="54"/>
      <c r="E59" s="54"/>
      <c r="F59" s="54"/>
      <c r="G59" s="54"/>
      <c r="H59" s="31">
        <f>SUM(H9:H57)</f>
        <v>24.63910751391056</v>
      </c>
      <c r="I59" s="31">
        <f>SUM(I9:I57)</f>
        <v>419017.2999999998</v>
      </c>
      <c r="J59" s="49">
        <f>SUM(J9:J57)</f>
        <v>24.2</v>
      </c>
      <c r="L59" s="75">
        <f>H59/J59-1</f>
        <v>0.018144938591345472</v>
      </c>
    </row>
    <row r="60" spans="1:10" ht="15">
      <c r="A60" s="14"/>
      <c r="B60" s="15"/>
      <c r="C60" s="54"/>
      <c r="D60" s="54"/>
      <c r="E60" s="54"/>
      <c r="F60" s="54"/>
      <c r="G60" s="54"/>
      <c r="H60" s="31"/>
      <c r="I60" s="72"/>
      <c r="J60" s="73"/>
    </row>
    <row r="61" spans="1:10" s="38" customFormat="1" ht="15">
      <c r="A61" s="19" t="s">
        <v>28</v>
      </c>
      <c r="B61" s="13" t="s">
        <v>93</v>
      </c>
      <c r="C61" s="49">
        <f>SUM(C62:C67)</f>
        <v>772724.388</v>
      </c>
      <c r="D61" s="49">
        <f>C61/12</f>
        <v>64393.699</v>
      </c>
      <c r="E61" s="49">
        <f>E62+E63+E64+E65+E66+E67</f>
        <v>508276.46</v>
      </c>
      <c r="F61" s="49"/>
      <c r="G61" s="49"/>
      <c r="H61" s="31"/>
      <c r="J61" s="66"/>
    </row>
    <row r="62" spans="1:11" ht="15">
      <c r="A62" s="14" t="s">
        <v>30</v>
      </c>
      <c r="B62" s="15" t="s">
        <v>27</v>
      </c>
      <c r="C62" s="54">
        <f>D62*12</f>
        <v>133560</v>
      </c>
      <c r="D62" s="54">
        <v>11130</v>
      </c>
      <c r="E62" s="54">
        <v>163074.54</v>
      </c>
      <c r="F62" s="54">
        <f aca="true" t="shared" si="8" ref="F62:F67">C62-E62</f>
        <v>-29514.540000000008</v>
      </c>
      <c r="G62" s="54" t="s">
        <v>145</v>
      </c>
      <c r="H62" s="33">
        <v>105</v>
      </c>
      <c r="I62" s="1">
        <v>15833.3</v>
      </c>
      <c r="J62" s="50">
        <v>105</v>
      </c>
      <c r="K62" s="16" t="s">
        <v>52</v>
      </c>
    </row>
    <row r="63" spans="1:11" ht="15">
      <c r="A63" s="14" t="s">
        <v>31</v>
      </c>
      <c r="B63" s="15" t="s">
        <v>104</v>
      </c>
      <c r="C63" s="54">
        <f>D63*12</f>
        <v>94999.79999999999</v>
      </c>
      <c r="D63" s="54">
        <f>H63*I63</f>
        <v>7916.65</v>
      </c>
      <c r="E63" s="54"/>
      <c r="F63" s="54">
        <f t="shared" si="8"/>
        <v>94999.79999999999</v>
      </c>
      <c r="G63" s="54" t="s">
        <v>144</v>
      </c>
      <c r="H63" s="33">
        <v>0.5</v>
      </c>
      <c r="I63" s="1">
        <v>15833.3</v>
      </c>
      <c r="J63" s="50">
        <v>0.5</v>
      </c>
      <c r="K63" s="16" t="s">
        <v>54</v>
      </c>
    </row>
    <row r="64" spans="1:11" ht="15">
      <c r="A64" s="14" t="s">
        <v>58</v>
      </c>
      <c r="B64" s="15" t="s">
        <v>103</v>
      </c>
      <c r="C64" s="54">
        <f>D64*12</f>
        <v>195699.588</v>
      </c>
      <c r="D64" s="54">
        <f>H64*I64</f>
        <v>16308.298999999999</v>
      </c>
      <c r="E64" s="54">
        <f>65866.42</f>
        <v>65866.42</v>
      </c>
      <c r="F64" s="54">
        <f t="shared" si="8"/>
        <v>129833.16799999999</v>
      </c>
      <c r="G64" s="54" t="s">
        <v>143</v>
      </c>
      <c r="H64" s="33">
        <v>1.03</v>
      </c>
      <c r="I64" s="1">
        <v>15833.3</v>
      </c>
      <c r="J64" s="50">
        <v>1.03</v>
      </c>
      <c r="K64" s="20" t="s">
        <v>55</v>
      </c>
    </row>
    <row r="65" spans="1:11" s="29" customFormat="1" ht="15">
      <c r="A65" s="14" t="s">
        <v>59</v>
      </c>
      <c r="B65" s="21" t="s">
        <v>91</v>
      </c>
      <c r="C65" s="54">
        <f>D65*12</f>
        <v>39528</v>
      </c>
      <c r="D65" s="55">
        <f>H65*I65</f>
        <v>3294</v>
      </c>
      <c r="E65" s="55">
        <v>39528</v>
      </c>
      <c r="F65" s="54">
        <f t="shared" si="8"/>
        <v>0</v>
      </c>
      <c r="G65" s="54"/>
      <c r="H65" s="43">
        <v>13.5</v>
      </c>
      <c r="I65" s="1">
        <v>244</v>
      </c>
      <c r="J65" s="51">
        <v>13.5</v>
      </c>
      <c r="K65" s="22" t="s">
        <v>53</v>
      </c>
    </row>
    <row r="66" spans="1:11" ht="15">
      <c r="A66" s="14" t="s">
        <v>75</v>
      </c>
      <c r="B66" s="15" t="s">
        <v>85</v>
      </c>
      <c r="C66" s="54">
        <v>234271</v>
      </c>
      <c r="D66" s="54">
        <v>15891</v>
      </c>
      <c r="E66" s="54">
        <f>190692.72+15940.62+4250</f>
        <v>210883.34</v>
      </c>
      <c r="F66" s="54">
        <f t="shared" si="8"/>
        <v>23387.660000000003</v>
      </c>
      <c r="G66" s="54" t="s">
        <v>142</v>
      </c>
      <c r="H66" s="33">
        <v>3.64</v>
      </c>
      <c r="J66" s="50">
        <v>3.64</v>
      </c>
      <c r="K66" s="20" t="s">
        <v>56</v>
      </c>
    </row>
    <row r="67" spans="1:11" ht="15">
      <c r="A67" s="14" t="s">
        <v>76</v>
      </c>
      <c r="B67" s="15" t="s">
        <v>84</v>
      </c>
      <c r="C67" s="54">
        <v>74666</v>
      </c>
      <c r="D67" s="54">
        <f>C67/12</f>
        <v>6222.166666666667</v>
      </c>
      <c r="E67" s="54">
        <v>28924.16</v>
      </c>
      <c r="F67" s="54">
        <f t="shared" si="8"/>
        <v>45741.84</v>
      </c>
      <c r="G67" s="54"/>
      <c r="H67" s="31">
        <v>105.46</v>
      </c>
      <c r="I67" s="1">
        <v>15833.3</v>
      </c>
      <c r="J67" s="49">
        <v>105.46</v>
      </c>
      <c r="K67" s="64"/>
    </row>
    <row r="68" spans="1:8" ht="15">
      <c r="A68" s="9"/>
      <c r="B68" s="9"/>
      <c r="C68" s="53"/>
      <c r="D68" s="53"/>
      <c r="E68" s="53"/>
      <c r="F68" s="53"/>
      <c r="G68" s="53"/>
      <c r="H68" s="46"/>
    </row>
    <row r="69" spans="1:8" ht="15">
      <c r="A69" s="9"/>
      <c r="B69" s="9"/>
      <c r="C69" s="53"/>
      <c r="D69" s="53"/>
      <c r="E69" s="53"/>
      <c r="F69" s="53"/>
      <c r="G69" s="53"/>
      <c r="H69" s="46"/>
    </row>
    <row r="70" spans="1:12" s="65" customFormat="1" ht="15">
      <c r="A70" s="44" t="s">
        <v>60</v>
      </c>
      <c r="B70" s="45"/>
      <c r="C70" s="50">
        <f>C9+C34</f>
        <v>4775846.388</v>
      </c>
      <c r="D70" s="50">
        <f>D34+D9</f>
        <v>397987.199</v>
      </c>
      <c r="E70" s="50">
        <f>E61+E34+E29+E9</f>
        <v>5304016.75</v>
      </c>
      <c r="F70" s="50"/>
      <c r="G70" s="50"/>
      <c r="H70" s="33"/>
      <c r="I70" s="63">
        <v>15833.3</v>
      </c>
      <c r="J70" s="62"/>
      <c r="K70" s="63"/>
      <c r="L70" s="63"/>
    </row>
    <row r="71" spans="1:11" s="65" customFormat="1" ht="15">
      <c r="A71" s="10"/>
      <c r="B71" s="5"/>
      <c r="C71" s="50"/>
      <c r="D71" s="50"/>
      <c r="E71" s="50"/>
      <c r="F71" s="50"/>
      <c r="G71" s="50"/>
      <c r="H71" s="33"/>
      <c r="J71" s="62"/>
      <c r="K71" s="63"/>
    </row>
    <row r="72" spans="1:10" s="65" customFormat="1" ht="15">
      <c r="A72" s="23">
        <v>3</v>
      </c>
      <c r="B72" s="18" t="s">
        <v>32</v>
      </c>
      <c r="C72" s="49">
        <f>SUM(C73:C78)</f>
        <v>7406728</v>
      </c>
      <c r="D72" s="49">
        <f>C72/12</f>
        <v>617227.3333333334</v>
      </c>
      <c r="E72" s="49">
        <f>SUM(E73:E78)</f>
        <v>5279673.850000001</v>
      </c>
      <c r="F72" s="49"/>
      <c r="G72" s="49"/>
      <c r="H72" s="31"/>
      <c r="J72" s="62"/>
    </row>
    <row r="73" spans="1:8" ht="15">
      <c r="A73" s="14" t="s">
        <v>34</v>
      </c>
      <c r="B73" s="15" t="s">
        <v>46</v>
      </c>
      <c r="C73" s="54">
        <v>3370606</v>
      </c>
      <c r="D73" s="54">
        <f aca="true" t="shared" si="9" ref="D73:D78">C73/12</f>
        <v>280883.8333333333</v>
      </c>
      <c r="E73" s="54">
        <v>2675565.86</v>
      </c>
      <c r="F73" s="54">
        <f aca="true" t="shared" si="10" ref="F73:F78">C73-E73</f>
        <v>695040.1400000001</v>
      </c>
      <c r="G73" s="54"/>
      <c r="H73" s="31"/>
    </row>
    <row r="74" spans="1:8" ht="15">
      <c r="A74" s="14" t="s">
        <v>33</v>
      </c>
      <c r="B74" s="15" t="s">
        <v>47</v>
      </c>
      <c r="C74" s="54">
        <v>1141334</v>
      </c>
      <c r="D74" s="54">
        <f t="shared" si="9"/>
        <v>95111.16666666667</v>
      </c>
      <c r="E74" s="54">
        <v>540941.79</v>
      </c>
      <c r="F74" s="54">
        <f t="shared" si="10"/>
        <v>600392.21</v>
      </c>
      <c r="G74" s="54"/>
      <c r="H74" s="31"/>
    </row>
    <row r="75" spans="1:9" ht="15">
      <c r="A75" s="14" t="s">
        <v>35</v>
      </c>
      <c r="B75" s="15" t="s">
        <v>48</v>
      </c>
      <c r="C75" s="54">
        <v>1039086</v>
      </c>
      <c r="D75" s="54">
        <f t="shared" si="9"/>
        <v>86590.5</v>
      </c>
      <c r="E75" s="54">
        <f>907570.78-71300</f>
        <v>836270.78</v>
      </c>
      <c r="F75" s="54">
        <f t="shared" si="10"/>
        <v>202815.21999999997</v>
      </c>
      <c r="G75" s="54"/>
      <c r="H75" s="31"/>
      <c r="I75" s="26"/>
    </row>
    <row r="76" spans="1:12" ht="15">
      <c r="A76" s="14" t="s">
        <v>50</v>
      </c>
      <c r="B76" s="15" t="s">
        <v>49</v>
      </c>
      <c r="C76" s="54">
        <v>1582620</v>
      </c>
      <c r="D76" s="54">
        <f t="shared" si="9"/>
        <v>131885</v>
      </c>
      <c r="E76" s="54">
        <f>1053455.62-71309</f>
        <v>982146.6200000001</v>
      </c>
      <c r="F76" s="54">
        <f t="shared" si="10"/>
        <v>600473.3799999999</v>
      </c>
      <c r="G76" s="54"/>
      <c r="H76" s="31"/>
      <c r="I76" s="26"/>
      <c r="J76" s="66"/>
      <c r="L76" s="26"/>
    </row>
    <row r="77" spans="1:9" ht="15">
      <c r="A77" s="14" t="s">
        <v>95</v>
      </c>
      <c r="B77" s="15" t="s">
        <v>94</v>
      </c>
      <c r="C77" s="54">
        <v>197082</v>
      </c>
      <c r="D77" s="54">
        <f t="shared" si="9"/>
        <v>16423.5</v>
      </c>
      <c r="E77" s="54">
        <v>202592.48</v>
      </c>
      <c r="F77" s="54">
        <f t="shared" si="10"/>
        <v>-5510.4800000000105</v>
      </c>
      <c r="G77" s="54"/>
      <c r="H77" s="31"/>
      <c r="I77" s="26"/>
    </row>
    <row r="78" spans="1:9" ht="15">
      <c r="A78" s="14" t="s">
        <v>96</v>
      </c>
      <c r="B78" s="21" t="s">
        <v>86</v>
      </c>
      <c r="C78" s="55">
        <v>76000</v>
      </c>
      <c r="D78" s="54">
        <f t="shared" si="9"/>
        <v>6333.333333333333</v>
      </c>
      <c r="E78" s="54">
        <v>42156.32</v>
      </c>
      <c r="F78" s="54">
        <f t="shared" si="10"/>
        <v>33843.68</v>
      </c>
      <c r="G78" s="54"/>
      <c r="H78" s="31"/>
      <c r="I78" s="26"/>
    </row>
    <row r="79" spans="1:9" ht="15">
      <c r="A79" s="14"/>
      <c r="B79" s="15"/>
      <c r="C79" s="54"/>
      <c r="D79" s="54"/>
      <c r="E79" s="54"/>
      <c r="F79" s="54"/>
      <c r="G79" s="54"/>
      <c r="H79" s="31"/>
      <c r="I79" s="26"/>
    </row>
    <row r="80" spans="1:10" s="65" customFormat="1" ht="15">
      <c r="A80" s="11"/>
      <c r="B80" s="12" t="s">
        <v>106</v>
      </c>
      <c r="C80" s="56">
        <f>C70+C72</f>
        <v>12182574.388</v>
      </c>
      <c r="D80" s="56">
        <f>D70+D72</f>
        <v>1015214.5323333334</v>
      </c>
      <c r="E80" s="56">
        <f>E72+E70</f>
        <v>10583690.600000001</v>
      </c>
      <c r="F80" s="56"/>
      <c r="G80" s="56"/>
      <c r="H80" s="34"/>
      <c r="I80" s="62"/>
      <c r="J80" s="62"/>
    </row>
    <row r="81" spans="1:9" ht="15">
      <c r="A81" s="24"/>
      <c r="B81" s="25"/>
      <c r="C81" s="57"/>
      <c r="D81" s="58"/>
      <c r="E81" s="58"/>
      <c r="F81" s="58"/>
      <c r="G81" s="58"/>
      <c r="H81" s="47"/>
      <c r="I81" s="26"/>
    </row>
    <row r="82" spans="1:9" ht="15">
      <c r="A82" s="76"/>
      <c r="B82" s="79" t="s">
        <v>111</v>
      </c>
      <c r="C82" s="58"/>
      <c r="D82" s="58"/>
      <c r="E82" s="58"/>
      <c r="F82" s="58"/>
      <c r="G82" s="58"/>
      <c r="H82" s="47"/>
      <c r="I82" s="26"/>
    </row>
    <row r="83" spans="1:9" ht="15">
      <c r="A83" s="76"/>
      <c r="B83" s="25" t="s">
        <v>112</v>
      </c>
      <c r="C83" s="58"/>
      <c r="D83" s="58"/>
      <c r="E83" s="58">
        <v>151000</v>
      </c>
      <c r="F83" s="58"/>
      <c r="G83" s="58"/>
      <c r="H83" s="47"/>
      <c r="I83" s="26"/>
    </row>
    <row r="84" spans="1:9" ht="15">
      <c r="A84" s="76"/>
      <c r="B84" s="25" t="s">
        <v>113</v>
      </c>
      <c r="C84" s="58"/>
      <c r="D84" s="58"/>
      <c r="E84" s="58">
        <f>29579.89+70000+250667+4320+6480</f>
        <v>361046.89</v>
      </c>
      <c r="F84" s="58"/>
      <c r="G84" s="58"/>
      <c r="H84" s="47"/>
      <c r="I84" s="26"/>
    </row>
    <row r="85" spans="1:9" ht="15">
      <c r="A85" s="76"/>
      <c r="B85" s="25" t="s">
        <v>114</v>
      </c>
      <c r="C85" s="58"/>
      <c r="D85" s="58"/>
      <c r="E85" s="58">
        <f>61600</f>
        <v>61600</v>
      </c>
      <c r="F85" s="58"/>
      <c r="G85" s="58"/>
      <c r="H85" s="47"/>
      <c r="I85" s="26"/>
    </row>
    <row r="86" spans="1:9" ht="15">
      <c r="A86" s="76"/>
      <c r="B86" s="25" t="s">
        <v>118</v>
      </c>
      <c r="C86" s="58"/>
      <c r="D86" s="58"/>
      <c r="E86" s="58">
        <v>50341</v>
      </c>
      <c r="F86" s="58">
        <f>24138+6541</f>
        <v>30679</v>
      </c>
      <c r="G86" s="58" t="s">
        <v>146</v>
      </c>
      <c r="H86" s="47"/>
      <c r="I86" s="26"/>
    </row>
    <row r="87" spans="1:9" ht="15">
      <c r="A87" s="76"/>
      <c r="B87" s="25" t="s">
        <v>123</v>
      </c>
      <c r="C87" s="58"/>
      <c r="D87" s="58"/>
      <c r="E87" s="58">
        <v>39941</v>
      </c>
      <c r="F87" s="58"/>
      <c r="G87" s="58"/>
      <c r="H87" s="47"/>
      <c r="I87" s="26"/>
    </row>
    <row r="88" spans="1:9" ht="15">
      <c r="A88" s="76"/>
      <c r="B88" s="25"/>
      <c r="C88" s="58"/>
      <c r="D88" s="58"/>
      <c r="E88" s="58"/>
      <c r="F88" s="58"/>
      <c r="G88" s="58"/>
      <c r="H88" s="47"/>
      <c r="I88" s="26"/>
    </row>
    <row r="89" spans="1:9" ht="15">
      <c r="A89" s="76"/>
      <c r="B89" s="25"/>
      <c r="C89" s="58"/>
      <c r="D89" s="80" t="s">
        <v>140</v>
      </c>
      <c r="E89" s="80">
        <f>E80+E83+E84+E85+E86+E87</f>
        <v>11247619.490000002</v>
      </c>
      <c r="F89" s="58"/>
      <c r="G89" s="58"/>
      <c r="H89" s="47"/>
      <c r="I89" s="26"/>
    </row>
    <row r="90" spans="2:5" ht="15">
      <c r="B90" s="1" t="s">
        <v>149</v>
      </c>
      <c r="E90" s="52">
        <v>11247619.49</v>
      </c>
    </row>
    <row r="91" spans="2:10" ht="15">
      <c r="B91" s="1" t="s">
        <v>150</v>
      </c>
      <c r="E91" s="52">
        <f>E89-E90</f>
        <v>0</v>
      </c>
      <c r="J91" s="66"/>
    </row>
    <row r="92" ht="15">
      <c r="B92" s="1" t="s">
        <v>151</v>
      </c>
    </row>
    <row r="93" spans="2:10" ht="14.25">
      <c r="B93" s="1" t="s">
        <v>152</v>
      </c>
      <c r="H93" s="77" t="s">
        <v>119</v>
      </c>
      <c r="J93" s="26">
        <v>716933</v>
      </c>
    </row>
    <row r="94" spans="2:13" s="65" customFormat="1" ht="15">
      <c r="B94" s="36"/>
      <c r="C94" s="59"/>
      <c r="D94" s="71"/>
      <c r="E94" s="71"/>
      <c r="F94" s="71"/>
      <c r="G94" s="71"/>
      <c r="H94" s="77" t="s">
        <v>141</v>
      </c>
      <c r="I94" s="1"/>
      <c r="J94" s="26">
        <v>2527115.66</v>
      </c>
      <c r="M94" s="62"/>
    </row>
    <row r="95" spans="2:10" s="65" customFormat="1" ht="15">
      <c r="B95" s="36"/>
      <c r="C95" s="59"/>
      <c r="D95" s="71"/>
      <c r="E95" s="71"/>
      <c r="F95" s="71"/>
      <c r="G95" s="71"/>
      <c r="H95" s="42"/>
      <c r="J95" s="62">
        <f>J93+J94</f>
        <v>3244048.66</v>
      </c>
    </row>
    <row r="96" spans="2:10" s="38" customFormat="1" ht="15">
      <c r="B96" s="37"/>
      <c r="C96" s="59"/>
      <c r="D96" s="71"/>
      <c r="E96" s="71"/>
      <c r="F96" s="71"/>
      <c r="G96" s="71"/>
      <c r="H96" s="42"/>
      <c r="J96" s="62">
        <f>F86+E67+E53+E45+E37+E30+E11</f>
        <v>3244048.66</v>
      </c>
    </row>
    <row r="97" ht="15">
      <c r="J97" s="62">
        <f>J95-J96</f>
        <v>0</v>
      </c>
    </row>
    <row r="100" spans="1:10" s="65" customFormat="1" ht="15">
      <c r="A100" s="36"/>
      <c r="B100" s="36"/>
      <c r="C100" s="59"/>
      <c r="D100" s="71"/>
      <c r="E100" s="71"/>
      <c r="F100" s="71"/>
      <c r="G100" s="71"/>
      <c r="H100" s="42"/>
      <c r="J100" s="62"/>
    </row>
    <row r="101" spans="3:10" s="38" customFormat="1" ht="15">
      <c r="C101" s="71"/>
      <c r="D101" s="71"/>
      <c r="E101" s="71"/>
      <c r="F101" s="71"/>
      <c r="G101" s="71"/>
      <c r="H101" s="42"/>
      <c r="J101" s="62"/>
    </row>
  </sheetData>
  <sheetProtection/>
  <mergeCells count="7">
    <mergeCell ref="B7:B8"/>
    <mergeCell ref="C1:H1"/>
    <mergeCell ref="C2:H2"/>
    <mergeCell ref="C3:H3"/>
    <mergeCell ref="C4:H4"/>
    <mergeCell ref="C7:H7"/>
    <mergeCell ref="B5:H5"/>
  </mergeCells>
  <printOptions/>
  <pageMargins left="0.1968503937007874" right="0.1968503937007874" top="0.24" bottom="0.1968503937007874" header="0.5118110236220472" footer="0.1968503937007874"/>
  <pageSetup fitToHeight="1" fitToWidth="1" horizontalDpi="600" verticalDpi="600" orientation="portrait" paperSize="9" scale="52" r:id="rId1"/>
  <colBreaks count="1" manualBreakCount="1">
    <brk id="3" min="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58">
      <selection activeCell="B91" sqref="B91"/>
    </sheetView>
  </sheetViews>
  <sheetFormatPr defaultColWidth="9.125" defaultRowHeight="12.75"/>
  <cols>
    <col min="2" max="2" width="50.25390625" style="0" customWidth="1"/>
    <col min="4" max="4" width="0" style="0" hidden="1" customWidth="1"/>
    <col min="7" max="7" width="18.625" style="0" hidden="1" customWidth="1"/>
    <col min="8" max="8" width="1.00390625" style="0" hidden="1" customWidth="1"/>
    <col min="9" max="9" width="1.875" style="0" hidden="1" customWidth="1"/>
    <col min="10" max="10" width="9.125" style="89" customWidth="1"/>
    <col min="11" max="11" width="0" style="0" hidden="1" customWidth="1"/>
  </cols>
  <sheetData>
    <row r="1" ht="12.75">
      <c r="C1" t="s">
        <v>62</v>
      </c>
    </row>
    <row r="2" ht="12.75">
      <c r="C2" t="s">
        <v>61</v>
      </c>
    </row>
    <row r="3" ht="12.75">
      <c r="C3" t="s">
        <v>124</v>
      </c>
    </row>
    <row r="4" ht="12.75">
      <c r="C4" t="s">
        <v>153</v>
      </c>
    </row>
    <row r="5" ht="12.75">
      <c r="A5" t="s">
        <v>157</v>
      </c>
    </row>
    <row r="6" ht="12.75">
      <c r="A6" t="s">
        <v>158</v>
      </c>
    </row>
    <row r="7" spans="1:10" ht="12.75">
      <c r="A7" s="86" t="s">
        <v>0</v>
      </c>
      <c r="B7" s="86" t="s">
        <v>1</v>
      </c>
      <c r="C7" s="86" t="s">
        <v>74</v>
      </c>
      <c r="D7" s="86"/>
      <c r="E7" s="86"/>
      <c r="F7" s="86"/>
      <c r="G7" s="86"/>
      <c r="H7" s="86"/>
      <c r="I7" s="86"/>
      <c r="J7" s="87" t="s">
        <v>154</v>
      </c>
    </row>
    <row r="8" spans="1:10" ht="12.75">
      <c r="A8" s="86"/>
      <c r="B8" s="86"/>
      <c r="C8" s="86" t="s">
        <v>155</v>
      </c>
      <c r="D8" s="86" t="s">
        <v>36</v>
      </c>
      <c r="E8" s="86" t="s">
        <v>156</v>
      </c>
      <c r="F8" s="86" t="s">
        <v>120</v>
      </c>
      <c r="G8" s="86" t="s">
        <v>121</v>
      </c>
      <c r="H8" s="86" t="s">
        <v>73</v>
      </c>
      <c r="I8" s="86"/>
      <c r="J8" s="87"/>
    </row>
    <row r="9" spans="1:10" ht="12.75">
      <c r="A9" s="86">
        <v>1</v>
      </c>
      <c r="B9" s="86" t="s">
        <v>2</v>
      </c>
      <c r="C9" s="86">
        <v>2258730</v>
      </c>
      <c r="D9" s="86">
        <v>188227.5</v>
      </c>
      <c r="E9" s="86">
        <v>1676702.55</v>
      </c>
      <c r="F9" s="86">
        <v>21093.449999999983</v>
      </c>
      <c r="G9" s="86"/>
      <c r="H9" s="86"/>
      <c r="I9" s="86">
        <v>15833.3</v>
      </c>
      <c r="J9" s="88">
        <f>E9/C9-1</f>
        <v>-0.25767907186781946</v>
      </c>
    </row>
    <row r="10" spans="1:10" ht="12.75">
      <c r="A10" s="86"/>
      <c r="B10" s="86"/>
      <c r="C10" s="86"/>
      <c r="D10" s="86"/>
      <c r="E10" s="86"/>
      <c r="F10" s="86"/>
      <c r="G10" s="86"/>
      <c r="H10" s="86"/>
      <c r="I10" s="86"/>
      <c r="J10" s="88"/>
    </row>
    <row r="11" spans="1:10" s="89" customFormat="1" ht="12.75">
      <c r="A11" s="87" t="s">
        <v>3</v>
      </c>
      <c r="B11" s="87" t="s">
        <v>4</v>
      </c>
      <c r="C11" s="87">
        <v>1394592</v>
      </c>
      <c r="D11" s="87">
        <v>116216</v>
      </c>
      <c r="E11" s="87">
        <v>1378254.55</v>
      </c>
      <c r="F11" s="87">
        <v>16337.449999999983</v>
      </c>
      <c r="G11" s="87"/>
      <c r="H11" s="87">
        <v>7.33997334731231</v>
      </c>
      <c r="I11" s="87">
        <v>15833.3</v>
      </c>
      <c r="J11" s="88">
        <f>E11/C11-1</f>
        <v>-0.01171485997338284</v>
      </c>
    </row>
    <row r="12" spans="1:10" ht="12.75">
      <c r="A12" s="86" t="s">
        <v>6</v>
      </c>
      <c r="B12" s="86" t="s">
        <v>57</v>
      </c>
      <c r="C12" s="86">
        <v>1008000</v>
      </c>
      <c r="D12" s="86">
        <v>84000</v>
      </c>
      <c r="E12" s="86">
        <v>1011347.51</v>
      </c>
      <c r="F12" s="86">
        <v>-3347.5100000000093</v>
      </c>
      <c r="G12" s="86"/>
      <c r="H12" s="86"/>
      <c r="I12" s="86">
        <v>15833.3</v>
      </c>
      <c r="J12" s="88"/>
    </row>
    <row r="13" spans="1:10" ht="12.75">
      <c r="A13" s="86" t="s">
        <v>5</v>
      </c>
      <c r="B13" s="86" t="s">
        <v>40</v>
      </c>
      <c r="C13" s="86">
        <v>304416</v>
      </c>
      <c r="D13" s="86">
        <v>25368</v>
      </c>
      <c r="E13" s="86">
        <v>305426.95</v>
      </c>
      <c r="F13" s="86">
        <v>-1010.9500000000116</v>
      </c>
      <c r="G13" s="86"/>
      <c r="H13" s="86"/>
      <c r="I13" s="86">
        <v>15833.3</v>
      </c>
      <c r="J13" s="88"/>
    </row>
    <row r="14" spans="1:10" ht="12.75">
      <c r="A14" s="86" t="s">
        <v>64</v>
      </c>
      <c r="B14" s="86" t="s">
        <v>65</v>
      </c>
      <c r="C14" s="86">
        <v>82176</v>
      </c>
      <c r="D14" s="86">
        <v>6848</v>
      </c>
      <c r="E14" s="86">
        <v>61480.09</v>
      </c>
      <c r="F14" s="86">
        <v>20695.910000000003</v>
      </c>
      <c r="G14" s="86"/>
      <c r="H14" s="86"/>
      <c r="I14" s="86">
        <v>15833.3</v>
      </c>
      <c r="J14" s="88"/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6"/>
      <c r="J15" s="88"/>
    </row>
    <row r="16" spans="1:10" s="89" customFormat="1" ht="12.75">
      <c r="A16" s="87" t="s">
        <v>7</v>
      </c>
      <c r="B16" s="87" t="s">
        <v>70</v>
      </c>
      <c r="C16" s="87">
        <v>303204</v>
      </c>
      <c r="D16" s="87">
        <v>25267</v>
      </c>
      <c r="E16" s="87">
        <v>298448</v>
      </c>
      <c r="F16" s="87">
        <v>4756</v>
      </c>
      <c r="G16" s="87"/>
      <c r="H16" s="87">
        <v>1.5958138859239703</v>
      </c>
      <c r="I16" s="87">
        <v>15833.3</v>
      </c>
      <c r="J16" s="88">
        <f>E16/C16-1</f>
        <v>-0.01568580889434179</v>
      </c>
    </row>
    <row r="17" spans="1:10" s="92" customFormat="1" ht="12.75">
      <c r="A17" s="90" t="s">
        <v>8</v>
      </c>
      <c r="B17" s="90" t="s">
        <v>41</v>
      </c>
      <c r="C17" s="90">
        <v>9600</v>
      </c>
      <c r="D17" s="90">
        <v>800</v>
      </c>
      <c r="E17" s="90">
        <v>9143.23</v>
      </c>
      <c r="F17" s="90">
        <v>456.77000000000044</v>
      </c>
      <c r="G17" s="90" t="s">
        <v>127</v>
      </c>
      <c r="H17" s="90"/>
      <c r="I17" s="90">
        <v>15833.3</v>
      </c>
      <c r="J17" s="91"/>
    </row>
    <row r="18" spans="1:10" s="92" customFormat="1" ht="12.75">
      <c r="A18" s="90" t="s">
        <v>9</v>
      </c>
      <c r="B18" s="90" t="s">
        <v>42</v>
      </c>
      <c r="C18" s="90">
        <v>18000</v>
      </c>
      <c r="D18" s="90">
        <v>1500</v>
      </c>
      <c r="E18" s="90">
        <v>23162</v>
      </c>
      <c r="F18" s="90">
        <v>-5162</v>
      </c>
      <c r="G18" s="90" t="s">
        <v>128</v>
      </c>
      <c r="H18" s="90"/>
      <c r="I18" s="90">
        <v>15833.3</v>
      </c>
      <c r="J18" s="91"/>
    </row>
    <row r="19" spans="1:10" s="92" customFormat="1" ht="12.75">
      <c r="A19" s="90" t="s">
        <v>10</v>
      </c>
      <c r="B19" s="90" t="s">
        <v>115</v>
      </c>
      <c r="C19" s="90">
        <v>99600</v>
      </c>
      <c r="D19" s="90">
        <v>8300</v>
      </c>
      <c r="E19" s="90">
        <v>105859.78</v>
      </c>
      <c r="F19" s="90">
        <v>-6259.779999999999</v>
      </c>
      <c r="G19" s="90" t="s">
        <v>129</v>
      </c>
      <c r="H19" s="90"/>
      <c r="I19" s="90">
        <v>15833.3</v>
      </c>
      <c r="J19" s="91"/>
    </row>
    <row r="20" spans="1:10" s="92" customFormat="1" ht="12.75">
      <c r="A20" s="90" t="s">
        <v>11</v>
      </c>
      <c r="B20" s="90" t="s">
        <v>44</v>
      </c>
      <c r="C20" s="90">
        <v>13200</v>
      </c>
      <c r="D20" s="90">
        <v>1100</v>
      </c>
      <c r="E20" s="90">
        <v>12731.81</v>
      </c>
      <c r="F20" s="90">
        <v>468.1900000000005</v>
      </c>
      <c r="G20" s="90" t="s">
        <v>130</v>
      </c>
      <c r="H20" s="90"/>
      <c r="I20" s="90">
        <v>15833.3</v>
      </c>
      <c r="J20" s="91"/>
    </row>
    <row r="21" spans="1:10" s="92" customFormat="1" ht="12.75">
      <c r="A21" s="90" t="s">
        <v>12</v>
      </c>
      <c r="B21" s="90" t="s">
        <v>107</v>
      </c>
      <c r="C21" s="90">
        <v>40800</v>
      </c>
      <c r="D21" s="90">
        <v>3400</v>
      </c>
      <c r="E21" s="90">
        <v>30000</v>
      </c>
      <c r="F21" s="90">
        <v>10800</v>
      </c>
      <c r="G21" s="90" t="s">
        <v>131</v>
      </c>
      <c r="H21" s="90"/>
      <c r="I21" s="90">
        <v>15833.3</v>
      </c>
      <c r="J21" s="91"/>
    </row>
    <row r="22" spans="1:10" s="92" customFormat="1" ht="12.75">
      <c r="A22" s="90" t="s">
        <v>13</v>
      </c>
      <c r="B22" s="90" t="s">
        <v>109</v>
      </c>
      <c r="C22" s="90">
        <v>2400</v>
      </c>
      <c r="D22" s="90">
        <v>200</v>
      </c>
      <c r="E22" s="90">
        <v>6584.87</v>
      </c>
      <c r="F22" s="90">
        <v>-4184.87</v>
      </c>
      <c r="G22" s="90" t="s">
        <v>132</v>
      </c>
      <c r="H22" s="90"/>
      <c r="I22" s="90">
        <v>15833.3</v>
      </c>
      <c r="J22" s="91"/>
    </row>
    <row r="23" spans="1:10" s="92" customFormat="1" ht="12.75">
      <c r="A23" s="90" t="s">
        <v>66</v>
      </c>
      <c r="B23" s="90" t="s">
        <v>45</v>
      </c>
      <c r="C23" s="90">
        <v>30000</v>
      </c>
      <c r="D23" s="90">
        <v>2500</v>
      </c>
      <c r="E23" s="90">
        <v>37178.31</v>
      </c>
      <c r="F23" s="90">
        <v>-7178.309999999998</v>
      </c>
      <c r="G23" s="90" t="s">
        <v>133</v>
      </c>
      <c r="H23" s="90"/>
      <c r="I23" s="90">
        <v>15833.3</v>
      </c>
      <c r="J23" s="91"/>
    </row>
    <row r="24" spans="1:10" s="92" customFormat="1" ht="12.75">
      <c r="A24" s="90" t="s">
        <v>67</v>
      </c>
      <c r="B24" s="90" t="s">
        <v>108</v>
      </c>
      <c r="C24" s="90">
        <v>12000</v>
      </c>
      <c r="D24" s="90">
        <v>1000</v>
      </c>
      <c r="E24" s="90">
        <v>13476</v>
      </c>
      <c r="F24" s="90">
        <v>-1476</v>
      </c>
      <c r="G24" s="90" t="s">
        <v>134</v>
      </c>
      <c r="H24" s="90"/>
      <c r="I24" s="90">
        <v>15833.3</v>
      </c>
      <c r="J24" s="91"/>
    </row>
    <row r="25" spans="1:10" s="92" customFormat="1" ht="12.75">
      <c r="A25" s="90" t="s">
        <v>68</v>
      </c>
      <c r="B25" s="90" t="s">
        <v>69</v>
      </c>
      <c r="C25" s="90">
        <v>57600</v>
      </c>
      <c r="D25" s="90">
        <v>4800</v>
      </c>
      <c r="E25" s="90">
        <v>60312</v>
      </c>
      <c r="F25" s="90">
        <v>-2712</v>
      </c>
      <c r="G25" s="90" t="s">
        <v>135</v>
      </c>
      <c r="H25" s="90"/>
      <c r="I25" s="90">
        <v>15833.3</v>
      </c>
      <c r="J25" s="91"/>
    </row>
    <row r="26" spans="1:10" s="92" customFormat="1" ht="12.75">
      <c r="A26" s="90" t="s">
        <v>71</v>
      </c>
      <c r="B26" s="90" t="s">
        <v>72</v>
      </c>
      <c r="C26" s="90">
        <v>20004</v>
      </c>
      <c r="D26" s="90">
        <v>1667</v>
      </c>
      <c r="E26" s="90"/>
      <c r="F26" s="90">
        <v>20004</v>
      </c>
      <c r="G26" s="90" t="s">
        <v>136</v>
      </c>
      <c r="H26" s="90"/>
      <c r="I26" s="90">
        <v>15833.3</v>
      </c>
      <c r="J26" s="91"/>
    </row>
    <row r="27" spans="1:10" s="92" customFormat="1" ht="12.75">
      <c r="A27" s="90"/>
      <c r="B27" s="90"/>
      <c r="C27" s="90"/>
      <c r="D27" s="90"/>
      <c r="E27" s="90"/>
      <c r="F27" s="90"/>
      <c r="G27" s="90"/>
      <c r="H27" s="90"/>
      <c r="I27" s="90">
        <v>15833.3</v>
      </c>
      <c r="J27" s="91"/>
    </row>
    <row r="28" spans="1:10" s="89" customFormat="1" ht="12.75">
      <c r="A28" s="87" t="s">
        <v>97</v>
      </c>
      <c r="B28" s="87" t="s">
        <v>99</v>
      </c>
      <c r="C28" s="87"/>
      <c r="D28" s="87"/>
      <c r="E28" s="87"/>
      <c r="F28" s="87"/>
      <c r="G28" s="87"/>
      <c r="H28" s="87"/>
      <c r="I28" s="87">
        <v>15833.3</v>
      </c>
      <c r="J28" s="88"/>
    </row>
    <row r="29" spans="1:10" s="92" customFormat="1" ht="12.75">
      <c r="A29" s="90" t="s">
        <v>98</v>
      </c>
      <c r="B29" s="90" t="s">
        <v>16</v>
      </c>
      <c r="C29" s="90">
        <v>560934</v>
      </c>
      <c r="D29" s="90">
        <v>46744.5</v>
      </c>
      <c r="E29" s="90">
        <v>575390.47</v>
      </c>
      <c r="F29" s="90">
        <v>-14456.470000000023</v>
      </c>
      <c r="G29" s="90"/>
      <c r="H29" s="90">
        <v>2.952290425874581</v>
      </c>
      <c r="I29" s="90">
        <v>15833.3</v>
      </c>
      <c r="J29" s="88">
        <f>E29/C29-1</f>
        <v>0.02577214075096168</v>
      </c>
    </row>
    <row r="30" spans="1:10" s="92" customFormat="1" ht="12.75">
      <c r="A30" s="90" t="s">
        <v>100</v>
      </c>
      <c r="B30" s="90" t="s">
        <v>117</v>
      </c>
      <c r="C30" s="90">
        <v>397440</v>
      </c>
      <c r="D30" s="90">
        <v>33120</v>
      </c>
      <c r="E30" s="90">
        <v>396533.03</v>
      </c>
      <c r="F30" s="90">
        <v>906.9699999999721</v>
      </c>
      <c r="G30" s="90"/>
      <c r="H30" s="90"/>
      <c r="I30" s="90"/>
      <c r="J30" s="91"/>
    </row>
    <row r="31" spans="1:10" ht="12.75">
      <c r="A31" s="86" t="s">
        <v>101</v>
      </c>
      <c r="B31" s="86" t="s">
        <v>39</v>
      </c>
      <c r="C31" s="86">
        <v>120026.88</v>
      </c>
      <c r="D31" s="86">
        <v>10002.24</v>
      </c>
      <c r="E31" s="86">
        <v>119752.97</v>
      </c>
      <c r="F31" s="86">
        <v>273.9100000000035</v>
      </c>
      <c r="G31" s="86"/>
      <c r="H31" s="86"/>
      <c r="I31" s="86"/>
      <c r="J31" s="88"/>
    </row>
    <row r="32" spans="1:10" ht="12.75">
      <c r="A32" s="86" t="s">
        <v>102</v>
      </c>
      <c r="B32" s="86" t="s">
        <v>65</v>
      </c>
      <c r="C32" s="86">
        <v>43467.12</v>
      </c>
      <c r="D32" s="86">
        <v>3622.26</v>
      </c>
      <c r="E32" s="86">
        <v>59104.47</v>
      </c>
      <c r="F32" s="86">
        <v>-15637.349999999999</v>
      </c>
      <c r="G32" s="86" t="s">
        <v>147</v>
      </c>
      <c r="H32" s="86"/>
      <c r="I32" s="86"/>
      <c r="J32" s="88"/>
    </row>
    <row r="33" spans="1:10" ht="12.75">
      <c r="A33" s="86"/>
      <c r="B33" s="86"/>
      <c r="C33" s="86"/>
      <c r="D33" s="86"/>
      <c r="E33" s="86"/>
      <c r="F33" s="86"/>
      <c r="G33" s="86"/>
      <c r="H33" s="86"/>
      <c r="I33" s="86">
        <v>15833.3</v>
      </c>
      <c r="J33" s="88"/>
    </row>
    <row r="34" spans="1:10" s="89" customFormat="1" ht="12.75">
      <c r="A34" s="87" t="s">
        <v>14</v>
      </c>
      <c r="B34" s="87" t="s">
        <v>51</v>
      </c>
      <c r="C34" s="87">
        <v>2517116.3880000003</v>
      </c>
      <c r="D34" s="87">
        <v>209759.699</v>
      </c>
      <c r="E34" s="87">
        <v>2543647.27</v>
      </c>
      <c r="F34" s="87">
        <v>-21993.90999999983</v>
      </c>
      <c r="G34" s="87"/>
      <c r="H34" s="87"/>
      <c r="I34" s="87">
        <v>15833.3</v>
      </c>
      <c r="J34" s="88">
        <f>E34/C34-1</f>
        <v>0.010540188815456375</v>
      </c>
    </row>
    <row r="35" spans="1:10" ht="12.75">
      <c r="A35" s="86"/>
      <c r="B35" s="86"/>
      <c r="C35" s="86"/>
      <c r="D35" s="86"/>
      <c r="E35" s="86"/>
      <c r="F35" s="86"/>
      <c r="G35" s="86"/>
      <c r="H35" s="86"/>
      <c r="I35" s="86"/>
      <c r="J35" s="88"/>
    </row>
    <row r="36" spans="1:10" s="89" customFormat="1" ht="12.75">
      <c r="A36" s="87" t="s">
        <v>15</v>
      </c>
      <c r="B36" s="87" t="s">
        <v>82</v>
      </c>
      <c r="C36" s="87">
        <v>408881.88</v>
      </c>
      <c r="D36" s="87">
        <v>34073.49</v>
      </c>
      <c r="E36" s="87">
        <v>382562.66</v>
      </c>
      <c r="F36" s="87">
        <v>26319.22000000003</v>
      </c>
      <c r="G36" s="87"/>
      <c r="H36" s="87">
        <v>2.152014425293527</v>
      </c>
      <c r="I36" s="87">
        <v>15833.3</v>
      </c>
      <c r="J36" s="88">
        <f>E36/C36-1</f>
        <v>-0.06436876097321809</v>
      </c>
    </row>
    <row r="37" spans="1:10" ht="12.75">
      <c r="A37" s="86" t="s">
        <v>17</v>
      </c>
      <c r="B37" s="86" t="s">
        <v>16</v>
      </c>
      <c r="C37" s="86">
        <v>408881.88</v>
      </c>
      <c r="D37" s="86">
        <v>34073.49</v>
      </c>
      <c r="E37" s="86">
        <v>371844.66</v>
      </c>
      <c r="F37" s="86">
        <v>37037.22000000003</v>
      </c>
      <c r="G37" s="86"/>
      <c r="H37" s="86"/>
      <c r="I37" s="86"/>
      <c r="J37" s="88"/>
    </row>
    <row r="38" spans="1:10" ht="12.75">
      <c r="A38" s="86" t="s">
        <v>18</v>
      </c>
      <c r="B38" s="86" t="s">
        <v>77</v>
      </c>
      <c r="C38" s="86">
        <v>281520</v>
      </c>
      <c r="D38" s="86">
        <v>23460</v>
      </c>
      <c r="E38" s="86">
        <v>277091.66</v>
      </c>
      <c r="F38" s="86">
        <v>4428.340000000026</v>
      </c>
      <c r="G38" s="86"/>
      <c r="H38" s="86"/>
      <c r="I38" s="86"/>
      <c r="J38" s="88"/>
    </row>
    <row r="39" spans="1:10" ht="12.75">
      <c r="A39" s="86" t="s">
        <v>78</v>
      </c>
      <c r="B39" s="86" t="s">
        <v>39</v>
      </c>
      <c r="C39" s="86">
        <v>85019.04000000001</v>
      </c>
      <c r="D39" s="86">
        <v>7084.92</v>
      </c>
      <c r="E39" s="86">
        <v>83681</v>
      </c>
      <c r="F39" s="86">
        <v>1338.0400000000081</v>
      </c>
      <c r="G39" s="86"/>
      <c r="H39" s="86"/>
      <c r="I39" s="86"/>
      <c r="J39" s="88"/>
    </row>
    <row r="40" spans="1:10" ht="12.75">
      <c r="A40" s="86" t="s">
        <v>79</v>
      </c>
      <c r="B40" s="86" t="s">
        <v>65</v>
      </c>
      <c r="C40" s="86">
        <v>30789.239999999998</v>
      </c>
      <c r="D40" s="86">
        <v>2565.77</v>
      </c>
      <c r="E40" s="86">
        <v>11072</v>
      </c>
      <c r="F40" s="86">
        <v>19717.239999999998</v>
      </c>
      <c r="G40" s="86" t="s">
        <v>148</v>
      </c>
      <c r="H40" s="86"/>
      <c r="I40" s="86"/>
      <c r="J40" s="88"/>
    </row>
    <row r="41" spans="1:10" ht="12.75">
      <c r="A41" s="86" t="s">
        <v>80</v>
      </c>
      <c r="B41" s="86" t="s">
        <v>83</v>
      </c>
      <c r="C41" s="86">
        <v>11553.599999999999</v>
      </c>
      <c r="D41" s="86">
        <v>962.8</v>
      </c>
      <c r="E41" s="86">
        <v>10718</v>
      </c>
      <c r="F41" s="86">
        <v>835.5999999999985</v>
      </c>
      <c r="G41" s="86" t="s">
        <v>137</v>
      </c>
      <c r="H41" s="86"/>
      <c r="I41" s="86"/>
      <c r="J41" s="88"/>
    </row>
    <row r="42" spans="1:10" s="89" customFormat="1" ht="12.75">
      <c r="A42" s="87" t="s">
        <v>81</v>
      </c>
      <c r="B42" s="87" t="s">
        <v>89</v>
      </c>
      <c r="C42" s="87">
        <v>108261.36000000002</v>
      </c>
      <c r="D42" s="87">
        <v>9021.78</v>
      </c>
      <c r="E42" s="87">
        <v>116342.82</v>
      </c>
      <c r="F42" s="87">
        <v>-8081.459999999992</v>
      </c>
      <c r="G42" s="87" t="s">
        <v>139</v>
      </c>
      <c r="H42" s="87"/>
      <c r="I42" s="87">
        <v>7351.5</v>
      </c>
      <c r="J42" s="88">
        <f>E42/C42-1</f>
        <v>0.07464768593337445</v>
      </c>
    </row>
    <row r="43" spans="1:10" ht="12.75">
      <c r="A43" s="86"/>
      <c r="B43" s="86"/>
      <c r="C43" s="86"/>
      <c r="D43" s="86"/>
      <c r="E43" s="86"/>
      <c r="F43" s="86"/>
      <c r="G43" s="86"/>
      <c r="H43" s="86"/>
      <c r="I43" s="86"/>
      <c r="J43" s="88"/>
    </row>
    <row r="44" spans="1:10" s="89" customFormat="1" ht="12.75">
      <c r="A44" s="87" t="s">
        <v>19</v>
      </c>
      <c r="B44" s="87" t="s">
        <v>88</v>
      </c>
      <c r="C44" s="87">
        <v>471454.56000000006</v>
      </c>
      <c r="D44" s="87">
        <v>39287.880000000005</v>
      </c>
      <c r="E44" s="87">
        <v>511080.83</v>
      </c>
      <c r="F44" s="87">
        <v>-39626.26999999996</v>
      </c>
      <c r="G44" s="87"/>
      <c r="H44" s="87">
        <v>2.4813450133579233</v>
      </c>
      <c r="I44" s="87">
        <v>15833.3</v>
      </c>
      <c r="J44" s="88">
        <f>E44/C44-1</f>
        <v>0.08405109073502226</v>
      </c>
    </row>
    <row r="45" spans="1:10" ht="12.75">
      <c r="A45" s="86" t="s">
        <v>20</v>
      </c>
      <c r="B45" s="86" t="s">
        <v>16</v>
      </c>
      <c r="C45" s="86">
        <v>466496.64</v>
      </c>
      <c r="D45" s="86">
        <v>38874.72</v>
      </c>
      <c r="E45" s="86">
        <v>498530.83</v>
      </c>
      <c r="F45" s="86">
        <v>-32034.190000000002</v>
      </c>
      <c r="G45" s="86"/>
      <c r="H45" s="86"/>
      <c r="I45" s="86"/>
      <c r="J45" s="88"/>
    </row>
    <row r="46" spans="1:10" ht="12.75">
      <c r="A46" s="86" t="s">
        <v>21</v>
      </c>
      <c r="B46" s="86" t="s">
        <v>90</v>
      </c>
      <c r="C46" s="86">
        <v>330528</v>
      </c>
      <c r="D46" s="86">
        <v>27544</v>
      </c>
      <c r="E46" s="86">
        <v>424137.42000000004</v>
      </c>
      <c r="F46" s="86">
        <v>-93609.42000000004</v>
      </c>
      <c r="G46" s="86" t="s">
        <v>138</v>
      </c>
      <c r="H46" s="86"/>
      <c r="I46" s="86"/>
      <c r="J46" s="88"/>
    </row>
    <row r="47" spans="1:10" ht="12.75">
      <c r="A47" s="86" t="s">
        <v>23</v>
      </c>
      <c r="B47" s="86" t="s">
        <v>39</v>
      </c>
      <c r="C47" s="86">
        <v>99819.48000000001</v>
      </c>
      <c r="D47" s="86">
        <v>8318.29</v>
      </c>
      <c r="E47" s="86">
        <v>43529.5</v>
      </c>
      <c r="F47" s="86">
        <v>56289.98000000001</v>
      </c>
      <c r="G47" s="86"/>
      <c r="H47" s="86"/>
      <c r="I47" s="86"/>
      <c r="J47" s="88"/>
    </row>
    <row r="48" spans="1:10" ht="12.75">
      <c r="A48" s="86" t="s">
        <v>24</v>
      </c>
      <c r="B48" s="86" t="s">
        <v>65</v>
      </c>
      <c r="C48" s="86">
        <v>36149.159999999996</v>
      </c>
      <c r="D48" s="86">
        <v>3012.43</v>
      </c>
      <c r="E48" s="86">
        <v>30863.91</v>
      </c>
      <c r="F48" s="86">
        <v>5285.249999999996</v>
      </c>
      <c r="G48" s="86"/>
      <c r="H48" s="86"/>
      <c r="I48" s="86"/>
      <c r="J48" s="88"/>
    </row>
    <row r="49" spans="1:10" ht="12.75">
      <c r="A49" s="86" t="s">
        <v>25</v>
      </c>
      <c r="B49" s="86" t="s">
        <v>92</v>
      </c>
      <c r="C49" s="86">
        <v>4957.92</v>
      </c>
      <c r="D49" s="86">
        <v>413.16</v>
      </c>
      <c r="E49" s="86">
        <v>12550</v>
      </c>
      <c r="F49" s="86">
        <v>-7592.08</v>
      </c>
      <c r="G49" s="86" t="s">
        <v>110</v>
      </c>
      <c r="H49" s="86"/>
      <c r="I49" s="86"/>
      <c r="J49" s="88"/>
    </row>
    <row r="50" spans="1:10" s="89" customFormat="1" ht="12.75">
      <c r="A50" s="87" t="s">
        <v>26</v>
      </c>
      <c r="B50" s="87" t="s">
        <v>22</v>
      </c>
      <c r="C50" s="87">
        <v>615000</v>
      </c>
      <c r="D50" s="87">
        <v>51250</v>
      </c>
      <c r="E50" s="87">
        <v>649724</v>
      </c>
      <c r="F50" s="87">
        <v>-34724</v>
      </c>
      <c r="G50" s="87"/>
      <c r="H50" s="87">
        <v>3.57</v>
      </c>
      <c r="I50" s="87">
        <v>15833.3</v>
      </c>
      <c r="J50" s="88">
        <f>E50/C50-1</f>
        <v>0.0564617886178862</v>
      </c>
    </row>
    <row r="51" spans="1:10" ht="12.75">
      <c r="A51" s="86"/>
      <c r="B51" s="86"/>
      <c r="C51" s="86"/>
      <c r="D51" s="86"/>
      <c r="E51" s="86"/>
      <c r="F51" s="86"/>
      <c r="G51" s="86"/>
      <c r="H51" s="86"/>
      <c r="I51" s="86"/>
      <c r="J51" s="88"/>
    </row>
    <row r="52" spans="1:10" s="89" customFormat="1" ht="12.75">
      <c r="A52" s="87" t="s">
        <v>28</v>
      </c>
      <c r="B52" s="87" t="s">
        <v>29</v>
      </c>
      <c r="C52" s="87">
        <v>864055.56</v>
      </c>
      <c r="D52" s="87">
        <v>72004.63</v>
      </c>
      <c r="E52" s="87">
        <v>804988.96</v>
      </c>
      <c r="F52" s="87">
        <v>59066.6</v>
      </c>
      <c r="G52" s="87"/>
      <c r="H52" s="87">
        <v>4.547670416148245</v>
      </c>
      <c r="I52" s="87">
        <v>15833.3</v>
      </c>
      <c r="J52" s="88">
        <f>E52/C52-1</f>
        <v>-0.06835972446031147</v>
      </c>
    </row>
    <row r="53" spans="1:10" ht="12.75">
      <c r="A53" s="86" t="s">
        <v>30</v>
      </c>
      <c r="B53" s="86" t="s">
        <v>16</v>
      </c>
      <c r="C53" s="86">
        <v>579056.16</v>
      </c>
      <c r="D53" s="86">
        <v>48254.68</v>
      </c>
      <c r="E53" s="86">
        <v>539282.43</v>
      </c>
      <c r="F53" s="86">
        <v>39773.72999999998</v>
      </c>
      <c r="G53" s="86"/>
      <c r="H53" s="86"/>
      <c r="I53" s="86"/>
      <c r="J53" s="88"/>
    </row>
    <row r="54" spans="1:10" ht="12.75">
      <c r="A54" s="86" t="s">
        <v>31</v>
      </c>
      <c r="B54" s="86" t="s">
        <v>87</v>
      </c>
      <c r="C54" s="86">
        <v>410280</v>
      </c>
      <c r="D54" s="86">
        <v>34190</v>
      </c>
      <c r="E54" s="86">
        <v>402796.13</v>
      </c>
      <c r="F54" s="86">
        <v>7483.869999999995</v>
      </c>
      <c r="G54" s="86"/>
      <c r="H54" s="86"/>
      <c r="I54" s="86"/>
      <c r="J54" s="88"/>
    </row>
    <row r="55" spans="1:10" ht="12.75">
      <c r="A55" s="86" t="s">
        <v>58</v>
      </c>
      <c r="B55" s="86" t="s">
        <v>40</v>
      </c>
      <c r="C55" s="86">
        <v>123904.56</v>
      </c>
      <c r="D55" s="86">
        <v>10325.38</v>
      </c>
      <c r="E55" s="86">
        <v>108486</v>
      </c>
      <c r="F55" s="86">
        <v>15418.559999999998</v>
      </c>
      <c r="G55" s="86"/>
      <c r="H55" s="86"/>
      <c r="I55" s="86"/>
      <c r="J55" s="88"/>
    </row>
    <row r="56" spans="1:10" ht="12.75">
      <c r="A56" s="86" t="s">
        <v>59</v>
      </c>
      <c r="B56" s="86" t="s">
        <v>65</v>
      </c>
      <c r="C56" s="86">
        <v>44871.600000000006</v>
      </c>
      <c r="D56" s="86">
        <v>3739.3</v>
      </c>
      <c r="E56" s="86">
        <v>28000.3</v>
      </c>
      <c r="F56" s="86">
        <v>16871.300000000007</v>
      </c>
      <c r="G56" s="86"/>
      <c r="H56" s="86"/>
      <c r="I56" s="86"/>
      <c r="J56" s="88"/>
    </row>
    <row r="57" spans="1:10" ht="12.75">
      <c r="A57" s="86" t="s">
        <v>75</v>
      </c>
      <c r="B57" s="86" t="s">
        <v>37</v>
      </c>
      <c r="C57" s="86">
        <v>284999.39999999997</v>
      </c>
      <c r="D57" s="86">
        <v>23749.949999999997</v>
      </c>
      <c r="E57" s="86">
        <v>265706.52999999997</v>
      </c>
      <c r="F57" s="86">
        <v>19292.869999999995</v>
      </c>
      <c r="G57" s="86"/>
      <c r="H57" s="86"/>
      <c r="I57" s="86">
        <v>15833.3</v>
      </c>
      <c r="J57" s="88"/>
    </row>
    <row r="58" spans="1:10" ht="12.75">
      <c r="A58" s="86" t="s">
        <v>76</v>
      </c>
      <c r="B58" s="86" t="s">
        <v>116</v>
      </c>
      <c r="C58" s="86">
        <v>54000</v>
      </c>
      <c r="D58" s="86">
        <v>4500</v>
      </c>
      <c r="E58" s="86">
        <v>78948</v>
      </c>
      <c r="F58" s="86">
        <v>-24948</v>
      </c>
      <c r="G58" s="86" t="s">
        <v>122</v>
      </c>
      <c r="H58" s="86"/>
      <c r="I58" s="86"/>
      <c r="J58" s="88"/>
    </row>
    <row r="59" spans="1:10" ht="12.75">
      <c r="A59" s="86"/>
      <c r="B59" s="86" t="s">
        <v>112</v>
      </c>
      <c r="C59" s="86"/>
      <c r="D59" s="86"/>
      <c r="E59" s="86">
        <v>151000</v>
      </c>
      <c r="F59" s="86"/>
      <c r="G59" s="86"/>
      <c r="H59" s="86"/>
      <c r="I59" s="86"/>
      <c r="J59" s="88"/>
    </row>
    <row r="60" spans="1:10" ht="12.75">
      <c r="A60" s="86"/>
      <c r="B60" s="86" t="s">
        <v>113</v>
      </c>
      <c r="C60" s="86"/>
      <c r="D60" s="86"/>
      <c r="E60" s="86">
        <v>361046.89</v>
      </c>
      <c r="F60" s="86"/>
      <c r="G60" s="86"/>
      <c r="H60" s="86"/>
      <c r="I60" s="86"/>
      <c r="J60" s="88"/>
    </row>
    <row r="61" spans="1:10" ht="12.75">
      <c r="A61" s="86"/>
      <c r="B61" s="86" t="s">
        <v>114</v>
      </c>
      <c r="C61" s="86"/>
      <c r="D61" s="86"/>
      <c r="E61" s="86">
        <v>61600</v>
      </c>
      <c r="F61" s="86"/>
      <c r="G61" s="86"/>
      <c r="H61" s="86"/>
      <c r="I61" s="86"/>
      <c r="J61" s="88"/>
    </row>
    <row r="62" spans="1:10" ht="12.75">
      <c r="A62" s="86"/>
      <c r="B62" s="86" t="s">
        <v>118</v>
      </c>
      <c r="C62" s="86"/>
      <c r="D62" s="86"/>
      <c r="E62" s="86">
        <v>50341</v>
      </c>
      <c r="F62" s="86">
        <v>30679</v>
      </c>
      <c r="G62" s="86"/>
      <c r="H62" s="86"/>
      <c r="I62" s="86"/>
      <c r="J62" s="88"/>
    </row>
    <row r="63" spans="1:10" ht="12.75">
      <c r="A63" s="86"/>
      <c r="B63" s="86" t="s">
        <v>123</v>
      </c>
      <c r="C63" s="86"/>
      <c r="D63" s="86"/>
      <c r="E63" s="86">
        <v>39941</v>
      </c>
      <c r="F63" s="86"/>
      <c r="G63" s="86"/>
      <c r="H63" s="86"/>
      <c r="I63" s="86"/>
      <c r="J63" s="88"/>
    </row>
    <row r="64" spans="1:10" ht="12.75">
      <c r="A64" s="86"/>
      <c r="B64" s="86"/>
      <c r="C64" s="86"/>
      <c r="D64" s="86"/>
      <c r="E64" s="86"/>
      <c r="F64" s="86"/>
      <c r="G64" s="86"/>
      <c r="H64" s="86">
        <v>24.63910751391056</v>
      </c>
      <c r="I64" s="86">
        <v>419017.2999999998</v>
      </c>
      <c r="J64" s="88"/>
    </row>
    <row r="65" spans="1:10" ht="12.75">
      <c r="A65" s="86"/>
      <c r="B65" s="86"/>
      <c r="C65" s="86"/>
      <c r="D65" s="86"/>
      <c r="E65" s="86"/>
      <c r="F65" s="86"/>
      <c r="G65" s="86"/>
      <c r="H65" s="86"/>
      <c r="I65" s="86"/>
      <c r="J65" s="88"/>
    </row>
    <row r="66" spans="1:10" s="89" customFormat="1" ht="12.75">
      <c r="A66" s="87" t="s">
        <v>28</v>
      </c>
      <c r="B66" s="87" t="s">
        <v>93</v>
      </c>
      <c r="C66" s="87">
        <v>772724.388</v>
      </c>
      <c r="D66" s="87">
        <v>64393.699</v>
      </c>
      <c r="E66" s="87">
        <v>508276.46</v>
      </c>
      <c r="F66" s="87"/>
      <c r="G66" s="87"/>
      <c r="H66" s="87"/>
      <c r="I66" s="87"/>
      <c r="J66" s="88">
        <f>E66/C66-1</f>
        <v>-0.342228007950488</v>
      </c>
    </row>
    <row r="67" spans="1:11" ht="12.75">
      <c r="A67" s="86" t="s">
        <v>30</v>
      </c>
      <c r="B67" s="86" t="s">
        <v>27</v>
      </c>
      <c r="C67" s="86">
        <v>133560</v>
      </c>
      <c r="D67" s="86">
        <v>11130</v>
      </c>
      <c r="E67" s="86">
        <v>163074.54</v>
      </c>
      <c r="F67" s="86">
        <v>-29514.540000000008</v>
      </c>
      <c r="G67" s="86" t="s">
        <v>145</v>
      </c>
      <c r="H67" s="86">
        <v>105</v>
      </c>
      <c r="I67" s="86">
        <v>15833.3</v>
      </c>
      <c r="J67" s="88">
        <f>E67/C67-1</f>
        <v>0.22098337825696324</v>
      </c>
      <c r="K67" t="s">
        <v>52</v>
      </c>
    </row>
    <row r="68" spans="1:11" ht="12.75">
      <c r="A68" s="86" t="s">
        <v>31</v>
      </c>
      <c r="B68" s="86" t="s">
        <v>104</v>
      </c>
      <c r="C68" s="86">
        <v>94999.79999999999</v>
      </c>
      <c r="D68" s="86">
        <v>7916.65</v>
      </c>
      <c r="E68" s="86"/>
      <c r="F68" s="86">
        <v>94999.79999999999</v>
      </c>
      <c r="G68" s="86" t="s">
        <v>144</v>
      </c>
      <c r="H68" s="86">
        <v>0.5</v>
      </c>
      <c r="I68" s="86">
        <v>15833.3</v>
      </c>
      <c r="J68" s="88">
        <f>E68/C68-1</f>
        <v>-1</v>
      </c>
      <c r="K68" t="s">
        <v>54</v>
      </c>
    </row>
    <row r="69" spans="1:11" ht="12.75">
      <c r="A69" s="86" t="s">
        <v>58</v>
      </c>
      <c r="B69" s="86" t="s">
        <v>103</v>
      </c>
      <c r="C69" s="86">
        <v>195699.588</v>
      </c>
      <c r="D69" s="86">
        <v>16308.298999999999</v>
      </c>
      <c r="E69" s="86">
        <v>65866.42</v>
      </c>
      <c r="F69" s="86">
        <v>129833.16799999999</v>
      </c>
      <c r="G69" s="86" t="s">
        <v>143</v>
      </c>
      <c r="H69" s="86">
        <v>1.03</v>
      </c>
      <c r="I69" s="86">
        <v>15833.3</v>
      </c>
      <c r="J69" s="88">
        <f>E69/C69-1</f>
        <v>-0.6634309725782356</v>
      </c>
      <c r="K69" t="s">
        <v>55</v>
      </c>
    </row>
    <row r="70" spans="1:11" ht="12.75">
      <c r="A70" s="86" t="s">
        <v>59</v>
      </c>
      <c r="B70" s="86" t="s">
        <v>91</v>
      </c>
      <c r="C70" s="86">
        <v>39528</v>
      </c>
      <c r="D70" s="86">
        <v>3294</v>
      </c>
      <c r="E70" s="86">
        <v>39528</v>
      </c>
      <c r="F70" s="86">
        <v>0</v>
      </c>
      <c r="G70" s="86"/>
      <c r="H70" s="86">
        <v>13.5</v>
      </c>
      <c r="I70" s="86">
        <v>244</v>
      </c>
      <c r="J70" s="88">
        <f>E70/C70-1</f>
        <v>0</v>
      </c>
      <c r="K70" t="s">
        <v>53</v>
      </c>
    </row>
    <row r="71" spans="1:11" ht="12.75">
      <c r="A71" s="86" t="s">
        <v>75</v>
      </c>
      <c r="B71" s="86" t="s">
        <v>85</v>
      </c>
      <c r="C71" s="86">
        <v>234271</v>
      </c>
      <c r="D71" s="86">
        <v>15891</v>
      </c>
      <c r="E71" s="86">
        <v>210883.34</v>
      </c>
      <c r="F71" s="86">
        <v>23387.660000000003</v>
      </c>
      <c r="G71" s="86" t="s">
        <v>142</v>
      </c>
      <c r="H71" s="86">
        <v>3.64</v>
      </c>
      <c r="I71" s="86"/>
      <c r="J71" s="88">
        <f>E71/C71-1</f>
        <v>-0.09983164796325628</v>
      </c>
      <c r="K71" t="s">
        <v>56</v>
      </c>
    </row>
    <row r="72" spans="1:10" ht="12.75">
      <c r="A72" s="86" t="s">
        <v>76</v>
      </c>
      <c r="B72" s="86" t="s">
        <v>84</v>
      </c>
      <c r="C72" s="86">
        <v>74666</v>
      </c>
      <c r="D72" s="86">
        <v>6222.166666666667</v>
      </c>
      <c r="E72" s="86">
        <v>28924.16</v>
      </c>
      <c r="F72" s="86">
        <v>45741.84</v>
      </c>
      <c r="G72" s="86"/>
      <c r="H72" s="86">
        <v>105.46</v>
      </c>
      <c r="I72" s="86">
        <v>15833.3</v>
      </c>
      <c r="J72" s="88">
        <f>E72/C72-1</f>
        <v>-0.6126193983874856</v>
      </c>
    </row>
    <row r="73" spans="1:10" ht="12.75">
      <c r="A73" s="86"/>
      <c r="B73" s="86"/>
      <c r="C73" s="86"/>
      <c r="D73" s="86"/>
      <c r="E73" s="86"/>
      <c r="F73" s="86"/>
      <c r="G73" s="86"/>
      <c r="H73" s="86"/>
      <c r="I73" s="86"/>
      <c r="J73" s="88"/>
    </row>
    <row r="74" spans="1:10" ht="12.75">
      <c r="A74" s="86"/>
      <c r="B74" s="86"/>
      <c r="C74" s="86"/>
      <c r="D74" s="86"/>
      <c r="E74" s="86"/>
      <c r="F74" s="86"/>
      <c r="G74" s="86"/>
      <c r="H74" s="86"/>
      <c r="I74" s="86"/>
      <c r="J74" s="88"/>
    </row>
    <row r="75" spans="1:10" s="89" customFormat="1" ht="12.75">
      <c r="A75" s="87" t="s">
        <v>60</v>
      </c>
      <c r="B75" s="87"/>
      <c r="C75" s="87">
        <v>4775846.388</v>
      </c>
      <c r="D75" s="87">
        <v>397987.199</v>
      </c>
      <c r="E75" s="87">
        <v>5304016.75</v>
      </c>
      <c r="F75" s="87"/>
      <c r="G75" s="87"/>
      <c r="H75" s="87"/>
      <c r="I75" s="87">
        <v>15833.3</v>
      </c>
      <c r="J75" s="88">
        <f>E75/C75-1</f>
        <v>0.11059199125983277</v>
      </c>
    </row>
    <row r="76" spans="1:10" ht="12.75">
      <c r="A76" s="86"/>
      <c r="B76" s="86"/>
      <c r="C76" s="86"/>
      <c r="D76" s="86"/>
      <c r="E76" s="86"/>
      <c r="F76" s="86"/>
      <c r="G76" s="86"/>
      <c r="H76" s="86"/>
      <c r="I76" s="86"/>
      <c r="J76" s="88"/>
    </row>
    <row r="77" spans="1:10" ht="12.75">
      <c r="A77" s="86">
        <v>3</v>
      </c>
      <c r="B77" s="86" t="s">
        <v>32</v>
      </c>
      <c r="C77" s="86">
        <v>7406728</v>
      </c>
      <c r="D77" s="86">
        <v>617227.3333333334</v>
      </c>
      <c r="E77" s="86">
        <v>5279673.850000001</v>
      </c>
      <c r="F77" s="86"/>
      <c r="G77" s="86"/>
      <c r="H77" s="86"/>
      <c r="I77" s="86"/>
      <c r="J77" s="88">
        <f>E77/C77-1</f>
        <v>-0.28717865027580325</v>
      </c>
    </row>
    <row r="78" spans="1:10" ht="12.75">
      <c r="A78" s="86" t="s">
        <v>34</v>
      </c>
      <c r="B78" s="86" t="s">
        <v>46</v>
      </c>
      <c r="C78" s="86">
        <v>3370606</v>
      </c>
      <c r="D78" s="86">
        <v>280883.8333333333</v>
      </c>
      <c r="E78" s="86">
        <v>2675565.86</v>
      </c>
      <c r="F78" s="86">
        <v>695040.1400000001</v>
      </c>
      <c r="G78" s="86"/>
      <c r="H78" s="86"/>
      <c r="I78" s="86"/>
      <c r="J78" s="88">
        <f aca="true" t="shared" si="0" ref="J78:J85">E78/C78-1</f>
        <v>-0.20620628456722623</v>
      </c>
    </row>
    <row r="79" spans="1:10" ht="12.75">
      <c r="A79" s="86" t="s">
        <v>33</v>
      </c>
      <c r="B79" s="86" t="s">
        <v>47</v>
      </c>
      <c r="C79" s="86">
        <v>1141334</v>
      </c>
      <c r="D79" s="86">
        <v>95111.16666666667</v>
      </c>
      <c r="E79" s="86">
        <v>540941.79</v>
      </c>
      <c r="F79" s="86">
        <v>600392.21</v>
      </c>
      <c r="G79" s="86"/>
      <c r="H79" s="86"/>
      <c r="I79" s="86"/>
      <c r="J79" s="88">
        <f t="shared" si="0"/>
        <v>-0.5260442692498427</v>
      </c>
    </row>
    <row r="80" spans="1:10" ht="12.75">
      <c r="A80" s="86" t="s">
        <v>35</v>
      </c>
      <c r="B80" s="86" t="s">
        <v>48</v>
      </c>
      <c r="C80" s="86">
        <v>1039086</v>
      </c>
      <c r="D80" s="86">
        <v>86590.5</v>
      </c>
      <c r="E80" s="86">
        <v>836270.78</v>
      </c>
      <c r="F80" s="86">
        <v>202815.21999999997</v>
      </c>
      <c r="G80" s="86"/>
      <c r="H80" s="86"/>
      <c r="I80" s="86"/>
      <c r="J80" s="88">
        <f t="shared" si="0"/>
        <v>-0.19518617323301435</v>
      </c>
    </row>
    <row r="81" spans="1:10" ht="12.75">
      <c r="A81" s="86" t="s">
        <v>50</v>
      </c>
      <c r="B81" s="86" t="s">
        <v>49</v>
      </c>
      <c r="C81" s="86">
        <v>1582620</v>
      </c>
      <c r="D81" s="86">
        <v>131885</v>
      </c>
      <c r="E81" s="86">
        <v>982146.6200000001</v>
      </c>
      <c r="F81" s="86">
        <v>600473.3799999999</v>
      </c>
      <c r="G81" s="86"/>
      <c r="H81" s="86"/>
      <c r="I81" s="86"/>
      <c r="J81" s="88">
        <f t="shared" si="0"/>
        <v>-0.3794172827336947</v>
      </c>
    </row>
    <row r="82" spans="1:10" ht="12.75">
      <c r="A82" s="86" t="s">
        <v>95</v>
      </c>
      <c r="B82" s="86" t="s">
        <v>94</v>
      </c>
      <c r="C82" s="86">
        <v>197082</v>
      </c>
      <c r="D82" s="86">
        <v>16423.5</v>
      </c>
      <c r="E82" s="86">
        <v>202592.48</v>
      </c>
      <c r="F82" s="86">
        <v>-5510.4800000000105</v>
      </c>
      <c r="G82" s="86"/>
      <c r="H82" s="86"/>
      <c r="I82" s="86"/>
      <c r="J82" s="88">
        <f t="shared" si="0"/>
        <v>0.027960341380745213</v>
      </c>
    </row>
    <row r="83" spans="1:10" ht="12.75">
      <c r="A83" s="86" t="s">
        <v>96</v>
      </c>
      <c r="B83" s="86" t="s">
        <v>86</v>
      </c>
      <c r="C83" s="86">
        <v>76000</v>
      </c>
      <c r="D83" s="86">
        <v>6333.333333333333</v>
      </c>
      <c r="E83" s="86">
        <v>42156.32</v>
      </c>
      <c r="F83" s="86">
        <v>33843.68</v>
      </c>
      <c r="G83" s="86"/>
      <c r="H83" s="86"/>
      <c r="I83" s="86"/>
      <c r="J83" s="88">
        <f t="shared" si="0"/>
        <v>-0.4453115789473684</v>
      </c>
    </row>
    <row r="84" spans="1:10" ht="12.75">
      <c r="A84" s="86"/>
      <c r="B84" s="86"/>
      <c r="C84" s="86"/>
      <c r="D84" s="86"/>
      <c r="E84" s="86"/>
      <c r="F84" s="86"/>
      <c r="G84" s="86"/>
      <c r="H84" s="86"/>
      <c r="I84" s="86"/>
      <c r="J84" s="88"/>
    </row>
    <row r="85" spans="1:10" s="89" customFormat="1" ht="12.75">
      <c r="A85" s="87"/>
      <c r="B85" s="87" t="s">
        <v>106</v>
      </c>
      <c r="C85" s="87">
        <v>12182574.388</v>
      </c>
      <c r="D85" s="87">
        <v>1015214.5323333334</v>
      </c>
      <c r="E85" s="87">
        <v>11247619.490000002</v>
      </c>
      <c r="F85" s="87"/>
      <c r="G85" s="87"/>
      <c r="H85" s="87"/>
      <c r="I85" s="87"/>
      <c r="J85" s="88">
        <f>E85/C85-1</f>
        <v>-0.07674526485312838</v>
      </c>
    </row>
  </sheetData>
  <sheetProtection/>
  <printOptions/>
  <pageMargins left="0.7" right="0.7" top="0.75" bottom="0.75" header="0.3" footer="0.3"/>
  <pageSetup fitToHeight="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alexander</cp:lastModifiedBy>
  <cp:lastPrinted>2016-02-09T16:04:12Z</cp:lastPrinted>
  <dcterms:created xsi:type="dcterms:W3CDTF">2013-11-10T07:04:42Z</dcterms:created>
  <dcterms:modified xsi:type="dcterms:W3CDTF">2016-02-10T13:36:02Z</dcterms:modified>
  <cp:category/>
  <cp:version/>
  <cp:contentType/>
  <cp:contentStatus/>
</cp:coreProperties>
</file>